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D:\Users\Andrey\Desktop\2020 BIT Z AIP\"/>
    </mc:Choice>
  </mc:AlternateContent>
  <xr:revisionPtr revIDLastSave="0" documentId="13_ncr:1_{DC4D0A29-CB57-4DF1-B8D5-0A0874FCA122}" xr6:coauthVersionLast="45" xr6:coauthVersionMax="45" xr10:uidLastSave="{00000000-0000-0000-0000-000000000000}"/>
  <bookViews>
    <workbookView xWindow="-110" yWindow="-110" windowWidth="19420" windowHeight="10420" firstSheet="20" activeTab="23" xr2:uid="{00000000-000D-0000-FFFF-FFFF00000000}"/>
  </bookViews>
  <sheets>
    <sheet name="PB" sheetId="1" r:id="rId1"/>
    <sheet name="RR" sheetId="2" r:id="rId2"/>
    <sheet name="FPoint" sheetId="3" r:id="rId3"/>
    <sheet name="NPV and IRR" sheetId="5" r:id="rId4"/>
    <sheet name="FPAnalysis" sheetId="31" r:id="rId5"/>
    <sheet name="Fig.1" sheetId="30" r:id="rId6"/>
    <sheet name="APPL" sheetId="4" r:id="rId7"/>
    <sheet name="Ex1 NPV Direct" sheetId="9" r:id="rId8"/>
    <sheet name="Ex1 CashFlow" sheetId="22" r:id="rId9"/>
    <sheet name="Ex1 Annual Cost" sheetId="28" r:id="rId10"/>
    <sheet name="Auto or SemiAuto" sheetId="21" r:id="rId11"/>
    <sheet name="One Reinv" sheetId="13" r:id="rId12"/>
    <sheet name="Ex1 NonPositive" sheetId="27" r:id="rId13"/>
    <sheet name="One Reinv (2)" sheetId="29" r:id="rId14"/>
    <sheet name="General" sheetId="10" r:id="rId15"/>
    <sheet name="Reinvest EXERSISE" sheetId="14" r:id="rId16"/>
    <sheet name="Ex FPoint Methode" sheetId="15" r:id="rId17"/>
    <sheet name="Non Unique IRR" sheetId="16" r:id="rId18"/>
    <sheet name="Sheet1" sheetId="32" r:id="rId19"/>
    <sheet name="Taxes,Depreciation Influence" sheetId="17" r:id="rId20"/>
    <sheet name="DATA" sheetId="20" r:id="rId21"/>
    <sheet name="BUY ASSETS" sheetId="19" r:id="rId22"/>
    <sheet name="RENT or OPERATIVE LEASING" sheetId="18" r:id="rId23"/>
    <sheet name="OPTIMAL" sheetId="11" r:id="rId24"/>
    <sheet name="Sheet7" sheetId="12" r:id="rId2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1" l="1"/>
  <c r="F19" i="11"/>
  <c r="F18" i="11"/>
  <c r="F17" i="11"/>
  <c r="F16" i="11"/>
  <c r="E17" i="11"/>
  <c r="E18" i="11"/>
  <c r="E19" i="11"/>
  <c r="E16" i="11"/>
  <c r="D17" i="11"/>
  <c r="D18" i="11"/>
  <c r="D19" i="11"/>
  <c r="D16" i="11"/>
  <c r="C17" i="11"/>
  <c r="C18" i="11"/>
  <c r="C19" i="11"/>
  <c r="C16" i="11"/>
  <c r="B17" i="11"/>
  <c r="B18" i="11"/>
  <c r="B19" i="11"/>
  <c r="B16" i="11"/>
  <c r="B12" i="11"/>
  <c r="B13" i="11"/>
  <c r="B14" i="11"/>
  <c r="K8" i="11"/>
  <c r="K9" i="11"/>
  <c r="K10" i="11"/>
  <c r="K7" i="11"/>
  <c r="G6" i="11"/>
  <c r="G5" i="11"/>
  <c r="G4" i="11"/>
  <c r="G3" i="11"/>
  <c r="F6" i="11"/>
  <c r="F5" i="11"/>
  <c r="F4" i="11"/>
  <c r="F3" i="11"/>
  <c r="K9" i="13"/>
  <c r="J9" i="13"/>
  <c r="J8" i="13"/>
  <c r="K7" i="13"/>
  <c r="K8" i="13" s="1"/>
  <c r="K6" i="13"/>
  <c r="K5" i="13"/>
  <c r="K4" i="13"/>
  <c r="K3" i="13"/>
  <c r="J7" i="13"/>
  <c r="J6" i="13"/>
  <c r="J5" i="13"/>
  <c r="J4" i="13"/>
  <c r="J3" i="13"/>
  <c r="K2" i="13"/>
  <c r="J2" i="13"/>
  <c r="H14" i="21"/>
  <c r="H13" i="21"/>
  <c r="F13" i="21"/>
  <c r="E13" i="21"/>
  <c r="H3" i="21"/>
  <c r="H4" i="21"/>
  <c r="H5" i="21"/>
  <c r="H6" i="21"/>
  <c r="H7" i="21"/>
  <c r="H8" i="21"/>
  <c r="H9" i="21"/>
  <c r="H10" i="21"/>
  <c r="H11" i="21"/>
  <c r="H12" i="21"/>
  <c r="H2" i="21"/>
  <c r="F2" i="21"/>
  <c r="E2" i="21"/>
  <c r="H8" i="22"/>
  <c r="G8" i="22"/>
  <c r="H7" i="22"/>
  <c r="G7" i="22"/>
  <c r="H6" i="22"/>
  <c r="H5" i="22"/>
  <c r="H4" i="22"/>
  <c r="H3" i="22"/>
  <c r="H2" i="22"/>
  <c r="G6" i="22"/>
  <c r="G5" i="22"/>
  <c r="G4" i="22"/>
  <c r="G3" i="22"/>
  <c r="G2" i="22"/>
  <c r="E19" i="9"/>
  <c r="C19" i="9"/>
  <c r="J9" i="9"/>
  <c r="J8" i="9"/>
  <c r="J5" i="9"/>
  <c r="J6" i="9"/>
  <c r="J7" i="9"/>
  <c r="J4" i="9"/>
  <c r="H9" i="9"/>
  <c r="G9" i="9"/>
  <c r="H8" i="9"/>
  <c r="G8" i="9"/>
  <c r="H7" i="9"/>
  <c r="H6" i="9"/>
  <c r="H5" i="9"/>
  <c r="H4" i="9"/>
  <c r="G7" i="9"/>
  <c r="G6" i="9"/>
  <c r="G5" i="9"/>
  <c r="G4" i="9"/>
  <c r="E18" i="9"/>
  <c r="E16" i="9"/>
  <c r="E15" i="9"/>
  <c r="E14" i="9"/>
  <c r="E13" i="9"/>
  <c r="E12" i="9"/>
  <c r="E11" i="9"/>
  <c r="C18" i="9"/>
  <c r="C16" i="9"/>
  <c r="C15" i="9"/>
  <c r="C13" i="9"/>
  <c r="C12" i="9"/>
  <c r="C11" i="9"/>
  <c r="H2" i="9"/>
  <c r="H1" i="9"/>
  <c r="F11" i="31" l="1"/>
  <c r="F10" i="31"/>
  <c r="F3" i="31"/>
  <c r="F4" i="31"/>
  <c r="F5" i="31"/>
  <c r="F6" i="31"/>
  <c r="F7" i="31"/>
  <c r="F8" i="31"/>
  <c r="F9" i="31"/>
  <c r="F2" i="31"/>
  <c r="D11" i="31"/>
  <c r="B11" i="31"/>
  <c r="D10" i="31"/>
  <c r="B10" i="31"/>
  <c r="D30" i="3"/>
  <c r="C30" i="3"/>
  <c r="F27" i="3"/>
  <c r="F25" i="3"/>
  <c r="F22" i="3"/>
  <c r="F23" i="3"/>
  <c r="F24" i="3"/>
  <c r="F21" i="3"/>
  <c r="D27" i="3"/>
  <c r="C27" i="3"/>
  <c r="D29" i="3"/>
  <c r="C29" i="3"/>
  <c r="B25" i="3"/>
  <c r="B23" i="3"/>
  <c r="B24" i="3"/>
  <c r="B21" i="3"/>
  <c r="H22" i="3"/>
  <c r="B22" i="3" s="1"/>
  <c r="H23" i="3"/>
  <c r="H24" i="3"/>
  <c r="H21" i="3"/>
  <c r="C26" i="3"/>
  <c r="H14" i="5"/>
  <c r="H12" i="5"/>
  <c r="H3" i="5"/>
  <c r="H4" i="5"/>
  <c r="H5" i="5"/>
  <c r="H6" i="5"/>
  <c r="H7" i="5"/>
  <c r="H8" i="5"/>
  <c r="H9" i="5"/>
  <c r="H10" i="5"/>
  <c r="H11" i="5"/>
  <c r="H2" i="5"/>
  <c r="D14" i="5"/>
  <c r="B14" i="5"/>
  <c r="G11" i="5"/>
  <c r="E11" i="5" s="1"/>
  <c r="G3" i="5"/>
  <c r="F3" i="5" s="1"/>
  <c r="G4" i="5"/>
  <c r="F4" i="5" s="1"/>
  <c r="G5" i="5"/>
  <c r="E5" i="5" s="1"/>
  <c r="G6" i="5"/>
  <c r="E6" i="5" s="1"/>
  <c r="G7" i="5"/>
  <c r="E7" i="5" s="1"/>
  <c r="G8" i="5"/>
  <c r="G9" i="5"/>
  <c r="G10" i="5"/>
  <c r="G2" i="5"/>
  <c r="D12" i="5"/>
  <c r="F8" i="5"/>
  <c r="F9" i="5"/>
  <c r="F10" i="5"/>
  <c r="B12" i="5"/>
  <c r="E4" i="5"/>
  <c r="E9" i="5"/>
  <c r="E2" i="5"/>
  <c r="E8" i="5"/>
  <c r="E10" i="5"/>
  <c r="F2" i="5"/>
  <c r="D29" i="5"/>
  <c r="C29" i="5"/>
  <c r="B25" i="5"/>
  <c r="B24" i="5"/>
  <c r="B23" i="5"/>
  <c r="B20" i="5"/>
  <c r="B18" i="5"/>
  <c r="B16" i="5"/>
  <c r="F11" i="5" l="1"/>
  <c r="F5" i="5"/>
  <c r="F7" i="5"/>
  <c r="E3" i="5"/>
  <c r="E12" i="5" s="1"/>
  <c r="F6" i="5"/>
  <c r="B3" i="31"/>
  <c r="F12" i="5" l="1"/>
  <c r="I12" i="2"/>
  <c r="H12" i="2"/>
  <c r="H11" i="2"/>
  <c r="I7" i="2"/>
  <c r="I4" i="2"/>
  <c r="I5" i="2" s="1"/>
  <c r="I6" i="2" s="1"/>
  <c r="I3" i="2"/>
  <c r="G4" i="2"/>
  <c r="G5" i="2"/>
  <c r="G6" i="2"/>
  <c r="G7" i="2"/>
  <c r="G3" i="2"/>
  <c r="H10" i="2"/>
  <c r="H8" i="2"/>
  <c r="F12" i="2"/>
  <c r="E12" i="2"/>
  <c r="E11" i="2"/>
  <c r="F7" i="2"/>
  <c r="F6" i="2"/>
  <c r="F5" i="2"/>
  <c r="E10" i="2"/>
  <c r="E4" i="2"/>
  <c r="E5" i="2"/>
  <c r="E6" i="2"/>
  <c r="E7" i="2"/>
  <c r="D8" i="2"/>
  <c r="D4" i="2"/>
  <c r="D5" i="2"/>
  <c r="D6" i="2"/>
  <c r="D7" i="2"/>
  <c r="E3" i="2"/>
  <c r="D3" i="2"/>
  <c r="C9" i="2"/>
  <c r="C4" i="2"/>
  <c r="C5" i="2" s="1"/>
  <c r="C6" i="2" s="1"/>
  <c r="C7" i="2" s="1"/>
  <c r="C3" i="2"/>
  <c r="F12" i="1"/>
  <c r="F4" i="1"/>
  <c r="F5" i="1" s="1"/>
  <c r="F6" i="1" s="1"/>
  <c r="F7" i="1" s="1"/>
  <c r="F8" i="1" s="1"/>
  <c r="F9" i="1" s="1"/>
  <c r="F3" i="1"/>
  <c r="B7" i="1"/>
  <c r="B12" i="1"/>
  <c r="B6" i="1"/>
  <c r="B5" i="1"/>
  <c r="B4" i="1"/>
  <c r="B3" i="1"/>
  <c r="F2" i="1"/>
  <c r="B2" i="1"/>
  <c r="E10" i="1"/>
  <c r="C10" i="1"/>
  <c r="E7" i="18" l="1"/>
  <c r="E6" i="18"/>
  <c r="E5" i="18"/>
  <c r="E4" i="18"/>
  <c r="E3" i="18"/>
  <c r="C4" i="18"/>
  <c r="C5" i="18"/>
  <c r="C6" i="18"/>
  <c r="C7" i="18"/>
  <c r="C3" i="18"/>
  <c r="D3" i="18" s="1"/>
  <c r="F3" i="18" s="1"/>
  <c r="B5" i="18"/>
  <c r="D5" i="18" s="1"/>
  <c r="F5" i="18" s="1"/>
  <c r="B6" i="18"/>
  <c r="D6" i="18" s="1"/>
  <c r="B7" i="18"/>
  <c r="D7" i="18" s="1"/>
  <c r="F7" i="18" s="1"/>
  <c r="B4" i="18"/>
  <c r="D4" i="18" s="1"/>
  <c r="F4" i="18" s="1"/>
  <c r="F4" i="19"/>
  <c r="F5" i="19"/>
  <c r="F6" i="19"/>
  <c r="F7" i="19"/>
  <c r="F3" i="19"/>
  <c r="C3" i="19"/>
  <c r="G3" i="19" s="1"/>
  <c r="H3" i="19" s="1"/>
  <c r="I3" i="19" s="1"/>
  <c r="D3" i="19"/>
  <c r="E3" i="19" s="1"/>
  <c r="C4" i="19" s="1"/>
  <c r="G4" i="19" s="1"/>
  <c r="H4" i="19" s="1"/>
  <c r="I4" i="19" s="1"/>
  <c r="F11" i="19"/>
  <c r="F6" i="18" l="1"/>
  <c r="F8" i="18" s="1"/>
  <c r="E4" i="19"/>
  <c r="D4" i="19"/>
  <c r="F3" i="16"/>
  <c r="F4" i="16"/>
  <c r="F5" i="16"/>
  <c r="F6" i="16"/>
  <c r="F7" i="16"/>
  <c r="F2" i="16"/>
  <c r="H8" i="29"/>
  <c r="H7" i="29"/>
  <c r="G8" i="29"/>
  <c r="G7" i="29"/>
  <c r="G6" i="29"/>
  <c r="G5" i="29"/>
  <c r="C5" i="19" l="1"/>
  <c r="J7" i="29"/>
  <c r="J8" i="29"/>
  <c r="H2" i="29"/>
  <c r="H3" i="29"/>
  <c r="H6" i="29"/>
  <c r="J6" i="29" s="1"/>
  <c r="H5" i="29"/>
  <c r="H4" i="29"/>
  <c r="J4" i="29" s="1"/>
  <c r="G4" i="29"/>
  <c r="G3" i="29"/>
  <c r="G2" i="29"/>
  <c r="G9" i="29" s="1"/>
  <c r="H11" i="13"/>
  <c r="G15" i="13"/>
  <c r="G13" i="13"/>
  <c r="G11" i="13"/>
  <c r="G6" i="13"/>
  <c r="C16" i="13"/>
  <c r="G12" i="13" s="1"/>
  <c r="C15" i="13"/>
  <c r="G7" i="13" s="1"/>
  <c r="C14" i="13"/>
  <c r="G4" i="13" s="1"/>
  <c r="C13" i="13"/>
  <c r="E12" i="28"/>
  <c r="B13" i="28"/>
  <c r="C12" i="28" s="1"/>
  <c r="K5" i="28"/>
  <c r="K2" i="28"/>
  <c r="J5" i="28"/>
  <c r="I2" i="28"/>
  <c r="F5" i="28"/>
  <c r="F4" i="28"/>
  <c r="J4" i="28" s="1"/>
  <c r="F3" i="28"/>
  <c r="J3" i="28" s="1"/>
  <c r="H5" i="28"/>
  <c r="H4" i="28"/>
  <c r="H6" i="28" s="1"/>
  <c r="H3" i="28"/>
  <c r="H2" i="28"/>
  <c r="H7" i="28" s="1"/>
  <c r="G5" i="28"/>
  <c r="I5" i="28" s="1"/>
  <c r="G4" i="28"/>
  <c r="I4" i="28" s="1"/>
  <c r="G3" i="28"/>
  <c r="G7" i="28" s="1"/>
  <c r="C14" i="22"/>
  <c r="E14" i="22"/>
  <c r="C12" i="22"/>
  <c r="B19" i="22"/>
  <c r="E12" i="22" s="1"/>
  <c r="I6" i="28" l="1"/>
  <c r="G14" i="13"/>
  <c r="G16" i="13" s="1"/>
  <c r="K4" i="28"/>
  <c r="K3" i="28"/>
  <c r="K7" i="28" s="1"/>
  <c r="C17" i="13"/>
  <c r="G3" i="13"/>
  <c r="G8" i="13" s="1"/>
  <c r="B20" i="22"/>
  <c r="G6" i="28"/>
  <c r="J2" i="28"/>
  <c r="J6" i="28" s="1"/>
  <c r="G5" i="19"/>
  <c r="H5" i="19" s="1"/>
  <c r="I5" i="19" s="1"/>
  <c r="D5" i="19"/>
  <c r="E5" i="19" s="1"/>
  <c r="G5" i="13"/>
  <c r="H4" i="13"/>
  <c r="I3" i="28"/>
  <c r="G10" i="29"/>
  <c r="H10" i="29"/>
  <c r="H9" i="29"/>
  <c r="J9" i="29" s="1"/>
  <c r="J3" i="29"/>
  <c r="J5" i="29"/>
  <c r="J2" i="29"/>
  <c r="D2" i="4"/>
  <c r="E2" i="4"/>
  <c r="C8" i="4" s="1"/>
  <c r="D6" i="4"/>
  <c r="C10" i="4" s="1"/>
  <c r="C12" i="4" l="1"/>
  <c r="C11" i="4"/>
  <c r="G17" i="13"/>
  <c r="C9" i="4"/>
  <c r="H12" i="13"/>
  <c r="H16" i="13" s="1"/>
  <c r="H3" i="13"/>
  <c r="H8" i="13" s="1"/>
  <c r="H17" i="13" s="1"/>
  <c r="K6" i="28"/>
  <c r="C7" i="4"/>
  <c r="C6" i="19"/>
  <c r="E11" i="22"/>
  <c r="E13" i="22" s="1"/>
  <c r="E17" i="22" s="1"/>
  <c r="E15" i="22"/>
  <c r="E16" i="22" s="1"/>
  <c r="C15" i="22"/>
  <c r="C16" i="22" s="1"/>
  <c r="C11" i="22"/>
  <c r="C13" i="22" s="1"/>
  <c r="C17" i="22" s="1"/>
  <c r="J10" i="29"/>
  <c r="D25" i="3"/>
  <c r="C25" i="3"/>
  <c r="G6" i="19" l="1"/>
  <c r="H6" i="19" s="1"/>
  <c r="I6" i="19" s="1"/>
  <c r="D6" i="19"/>
  <c r="E6" i="19" s="1"/>
  <c r="F8" i="2"/>
  <c r="E8" i="2"/>
  <c r="B8" i="2"/>
  <c r="I7" i="1"/>
  <c r="H7" i="1"/>
  <c r="C7" i="19" l="1"/>
  <c r="B7" i="20"/>
  <c r="E2" i="20"/>
  <c r="D7" i="19" l="1"/>
  <c r="E7" i="19" s="1"/>
  <c r="G7" i="19"/>
  <c r="H7" i="19" s="1"/>
  <c r="I7" i="19" s="1"/>
  <c r="B12" i="19"/>
  <c r="D12" i="19" s="1"/>
  <c r="C10" i="19"/>
  <c r="E10" i="19" s="1"/>
  <c r="J7" i="19"/>
  <c r="J6" i="19"/>
  <c r="J5" i="19"/>
  <c r="J4" i="19"/>
  <c r="J3" i="19"/>
  <c r="D13" i="15"/>
  <c r="C13" i="15"/>
  <c r="A13" i="15"/>
  <c r="D10" i="15"/>
  <c r="C10" i="15"/>
  <c r="A10" i="15"/>
  <c r="D9" i="15"/>
  <c r="C9" i="15"/>
  <c r="A9" i="15"/>
  <c r="D8" i="15"/>
  <c r="C8" i="15"/>
  <c r="A8" i="15"/>
  <c r="D10" i="19" l="1"/>
  <c r="F10" i="19" s="1"/>
  <c r="C12" i="19"/>
  <c r="E12" i="19" s="1"/>
  <c r="K7" i="19"/>
  <c r="K9" i="19"/>
  <c r="K3" i="19"/>
  <c r="K4" i="19" l="1"/>
  <c r="K5" i="19" l="1"/>
  <c r="K8" i="19" l="1"/>
  <c r="K10" i="19" s="1"/>
  <c r="K6" i="19"/>
</calcChain>
</file>

<file path=xl/sharedStrings.xml><?xml version="1.0" encoding="utf-8"?>
<sst xmlns="http://schemas.openxmlformats.org/spreadsheetml/2006/main" count="547" uniqueCount="338">
  <si>
    <t>PAY BACK</t>
  </si>
  <si>
    <t>A</t>
  </si>
  <si>
    <t>B</t>
  </si>
  <si>
    <t>1Y</t>
  </si>
  <si>
    <t>2Y</t>
  </si>
  <si>
    <t>3Y</t>
  </si>
  <si>
    <t>4Y</t>
  </si>
  <si>
    <t>5Y</t>
  </si>
  <si>
    <t>6Y</t>
  </si>
  <si>
    <t>7Y</t>
  </si>
  <si>
    <t>AMMOUT OF INVESTMENT</t>
  </si>
  <si>
    <t>C</t>
  </si>
  <si>
    <t>D</t>
  </si>
  <si>
    <t>RATE OF RETURN</t>
  </si>
  <si>
    <t>AMMOUNT OF INVESTMENT</t>
  </si>
  <si>
    <t>NPV</t>
  </si>
  <si>
    <t>PB</t>
  </si>
  <si>
    <t>IRR</t>
  </si>
  <si>
    <t>Fpoint</t>
  </si>
  <si>
    <t>Investment ammount</t>
  </si>
  <si>
    <t>t-life of equipment in Years</t>
  </si>
  <si>
    <t>3 Year</t>
  </si>
  <si>
    <t>5 Year</t>
  </si>
  <si>
    <t>t-life of equipment</t>
  </si>
  <si>
    <t>4 Year</t>
  </si>
  <si>
    <t>7 Year</t>
  </si>
  <si>
    <t>Rest Value 1</t>
  </si>
  <si>
    <t>Annual Expences</t>
  </si>
  <si>
    <t>t-Analysis in Years</t>
  </si>
  <si>
    <t>t-Analysis</t>
  </si>
  <si>
    <t>Reinvestment ammount</t>
  </si>
  <si>
    <t>Annual Expences Year 4 and 5</t>
  </si>
  <si>
    <t>Annual Expences Year 5,6 and 7</t>
  </si>
  <si>
    <t>Rest Value 2 (end 2 Year)</t>
  </si>
  <si>
    <t>Rest Value 2 (end 3 Year)</t>
  </si>
  <si>
    <t>MARR = 16%</t>
  </si>
  <si>
    <t>MARR = 15%</t>
  </si>
  <si>
    <t>6 Year</t>
  </si>
  <si>
    <t>9 Year</t>
  </si>
  <si>
    <t>Annual Expences Year 8 and 9</t>
  </si>
  <si>
    <t>Rest Value 2 (end 9 Year)</t>
  </si>
  <si>
    <t>Rest Value 1 (end of t-life)</t>
  </si>
  <si>
    <t xml:space="preserve">Annual Income </t>
  </si>
  <si>
    <t>Annual income Year 5,6 and 7</t>
  </si>
  <si>
    <t>Annual Income Year 8 and 9</t>
  </si>
  <si>
    <t>Annual Income</t>
  </si>
  <si>
    <t>Annual Income Year 4 and 5</t>
  </si>
  <si>
    <t>INVESTMENT</t>
  </si>
  <si>
    <t>t- life</t>
  </si>
  <si>
    <t>RestValue 1</t>
  </si>
  <si>
    <t>AR</t>
  </si>
  <si>
    <t>AE</t>
  </si>
  <si>
    <t>MARR</t>
  </si>
  <si>
    <t>8Y</t>
  </si>
  <si>
    <t>t-analisys</t>
  </si>
  <si>
    <t>R INVEST</t>
  </si>
  <si>
    <t>AR 5,6,7 and 8 Y</t>
  </si>
  <si>
    <t>AE 5,6,7 and 8 Y</t>
  </si>
  <si>
    <t>AR 6,7 and 8 Y</t>
  </si>
  <si>
    <t>AE 6,7 and 8 Y</t>
  </si>
  <si>
    <t>RestValue 2</t>
  </si>
  <si>
    <t>10Y</t>
  </si>
  <si>
    <t>5/10Y</t>
  </si>
  <si>
    <t>AR 6-10 Y</t>
  </si>
  <si>
    <t>AE6-10 Y</t>
  </si>
  <si>
    <t>RestValue B end 5Y</t>
  </si>
  <si>
    <t>No Y</t>
  </si>
  <si>
    <t>Payments</t>
  </si>
  <si>
    <t>ADVANCE</t>
  </si>
  <si>
    <t>END PAYMENT</t>
  </si>
  <si>
    <t>REMARK</t>
  </si>
  <si>
    <t>TOTAL AMMOUNT 109000000</t>
  </si>
  <si>
    <t>Taxes and Deprecation Infuence on the Solutions</t>
  </si>
  <si>
    <t>t-life</t>
  </si>
  <si>
    <t xml:space="preserve">Account RV old </t>
  </si>
  <si>
    <t>Capital Repair Costs</t>
  </si>
  <si>
    <t>MARR =12%</t>
  </si>
  <si>
    <t>/1/</t>
  </si>
  <si>
    <t>/2/</t>
  </si>
  <si>
    <t>/3/=0.1x/2/</t>
  </si>
  <si>
    <t>/4/=/2/-/3/</t>
  </si>
  <si>
    <t>/5/</t>
  </si>
  <si>
    <t>/6/</t>
  </si>
  <si>
    <t>No Year</t>
  </si>
  <si>
    <t>A Payment</t>
  </si>
  <si>
    <t>Tax Savings</t>
  </si>
  <si>
    <t>Netto Rent Expenses</t>
  </si>
  <si>
    <t>ABF</t>
  </si>
  <si>
    <t>/3/</t>
  </si>
  <si>
    <t>/7/=/3/+/6/</t>
  </si>
  <si>
    <t>/8/=0.1x/7/</t>
  </si>
  <si>
    <t>/9/=/2/-/8/</t>
  </si>
  <si>
    <t>/10/</t>
  </si>
  <si>
    <t>/11/=/9/*/10/</t>
  </si>
  <si>
    <t>Interest</t>
  </si>
  <si>
    <t>C Recovery</t>
  </si>
  <si>
    <t>Rest Capital for Cover</t>
  </si>
  <si>
    <t>Deprecation</t>
  </si>
  <si>
    <t>Expenses</t>
  </si>
  <si>
    <t>Netto Expenses  Ownership</t>
  </si>
  <si>
    <t>AP=40000*KVF(5, 9.5%)=40000*(MARR)/(1-(1+MARR)^(-5))</t>
  </si>
  <si>
    <t>Annuity=Interest+Capital Recovery</t>
  </si>
  <si>
    <t>Int=0,095*(Non Covered Capital)</t>
  </si>
  <si>
    <t>Netto</t>
  </si>
  <si>
    <t>S0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</si>
  <si>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</si>
  <si>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</si>
  <si>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</si>
  <si>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</si>
  <si>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</si>
  <si>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</si>
  <si>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</si>
  <si>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</si>
  <si>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</si>
  <si>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B-A</t>
  </si>
  <si>
    <t>5 Y</t>
  </si>
  <si>
    <t>RV (rest value)</t>
  </si>
  <si>
    <t>AEC(Annual Equivalent Costs)=?</t>
  </si>
  <si>
    <t>Additional Expenses for Electricity per Y</t>
  </si>
  <si>
    <t>2.1. Automatic Machine</t>
  </si>
  <si>
    <t>2.2 Semiautomatic Machine</t>
  </si>
  <si>
    <t>Additional Expenses for Salary per Y</t>
  </si>
  <si>
    <t>Invest</t>
  </si>
  <si>
    <t>Rest Value</t>
  </si>
  <si>
    <t>Rent ammount</t>
  </si>
  <si>
    <t>Number of Years</t>
  </si>
  <si>
    <t xml:space="preserve">Old Machine Cost </t>
  </si>
  <si>
    <t>New Machine Cost</t>
  </si>
  <si>
    <t>Cash Flow</t>
  </si>
  <si>
    <t>4Y8M</t>
  </si>
  <si>
    <t>Average Year Profit</t>
  </si>
  <si>
    <t>Average Work Capital</t>
  </si>
  <si>
    <t>RR</t>
  </si>
  <si>
    <t>AMMOUT OF INVESTMENT =S0</t>
  </si>
  <si>
    <t>1Y=S1</t>
  </si>
  <si>
    <t>2Y=S2</t>
  </si>
  <si>
    <t>3Y=S3</t>
  </si>
  <si>
    <t>NPV for MARR=12%</t>
  </si>
  <si>
    <t>A-B</t>
  </si>
  <si>
    <t>1. EQUIPMENT</t>
  </si>
  <si>
    <t>FV OF THE INVESTMENT</t>
  </si>
  <si>
    <t>PV OF THE INVESTMENT</t>
  </si>
  <si>
    <t>PV</t>
  </si>
  <si>
    <t>Cost OF EQUIPMENT</t>
  </si>
  <si>
    <t>FV</t>
  </si>
  <si>
    <t>COMRARE ALTERNATIVES</t>
  </si>
  <si>
    <t>COST</t>
  </si>
  <si>
    <t>t analysis Y</t>
  </si>
  <si>
    <t>Summ PV of Income</t>
  </si>
  <si>
    <t>PV of Income</t>
  </si>
  <si>
    <t>PV of Expences</t>
  </si>
  <si>
    <t>NPV(3,16%)=</t>
  </si>
  <si>
    <t>Cash flow A</t>
  </si>
  <si>
    <t>Cash flow B</t>
  </si>
  <si>
    <t>Cash flow B-A</t>
  </si>
  <si>
    <t>MARR = 20%</t>
  </si>
  <si>
    <t>First PAYMENT</t>
  </si>
  <si>
    <t>Second Pyment/ delivery the production</t>
  </si>
  <si>
    <t>MARR =10%</t>
  </si>
  <si>
    <t>NPV A</t>
  </si>
  <si>
    <t>NPV B</t>
  </si>
  <si>
    <t>NPV(9,10%)</t>
  </si>
  <si>
    <t>FV of Inv=-Inv*AUF(5,15%)+4000</t>
  </si>
  <si>
    <t>AC=FV Inv *RWF(5,15%)</t>
  </si>
  <si>
    <t>22000*DSF(3,16%)</t>
  </si>
  <si>
    <t>8000*ABF(3,16%)</t>
  </si>
  <si>
    <t>14000*ABF(3,16%)</t>
  </si>
  <si>
    <t>ABF(3,16%)</t>
  </si>
  <si>
    <t>DSF(3,16%)</t>
  </si>
  <si>
    <t>5000*DSF(3,16%)</t>
  </si>
  <si>
    <t>7000*DSF(3,16%)</t>
  </si>
  <si>
    <t>Summ PV of Exp.</t>
  </si>
  <si>
    <t>Rest Value 2 (end 4 Year)</t>
  </si>
  <si>
    <t>15000*DSF(4,15%)</t>
  </si>
  <si>
    <t>8000*ABF(4,15%)</t>
  </si>
  <si>
    <t>Summ of PV income</t>
  </si>
  <si>
    <t>18000*DSF(4,15%)</t>
  </si>
  <si>
    <t>14000*ABF(4,15%)</t>
  </si>
  <si>
    <t>5000*DSF(4,15%)</t>
  </si>
  <si>
    <t>6000*DSF(4,15%)</t>
  </si>
  <si>
    <t>Summ of PV Expences</t>
  </si>
  <si>
    <t xml:space="preserve">PV </t>
  </si>
  <si>
    <t>DSF(4, 15%)=(1-(1+0,15)^(-4))/0,15</t>
  </si>
  <si>
    <t>ABF(4,15%)=(1+0,15)^(-4)</t>
  </si>
  <si>
    <t>DSF(4, 15%)=(1-ABF(4,15%))/0,15</t>
  </si>
  <si>
    <t>ABF(k,20%)</t>
  </si>
  <si>
    <t>1,2^(-0)=1</t>
  </si>
  <si>
    <t>PV A</t>
  </si>
  <si>
    <t>PV B</t>
  </si>
  <si>
    <t>L=12%</t>
  </si>
  <si>
    <t>AC=25000*KWF(3,12%)</t>
  </si>
  <si>
    <t>KWF(#,12%)=0,12/(1-ABF(3,12%))</t>
  </si>
  <si>
    <t>16000*DSF(3,16%)</t>
  </si>
  <si>
    <t>19000*ABF(4,16%)</t>
  </si>
  <si>
    <t>19000*ABF(5,16%)</t>
  </si>
  <si>
    <t>Summ PVI</t>
  </si>
  <si>
    <t>6000*DSF(3,16%)</t>
  </si>
  <si>
    <t>7000*ABF(4,16%)</t>
  </si>
  <si>
    <t>5000*ABF(5,16%)</t>
  </si>
  <si>
    <t>28000*ABF(3,16%)</t>
  </si>
  <si>
    <t>3000*ABF(3,16%)</t>
  </si>
  <si>
    <t>15000*ABF(5,16%)</t>
  </si>
  <si>
    <t>20000*DSF(5,16%)</t>
  </si>
  <si>
    <t>4000*ABF(5,16%)</t>
  </si>
  <si>
    <t>8000*DSF(5,16%)</t>
  </si>
  <si>
    <t>ABF(4,16%)</t>
  </si>
  <si>
    <t>ABF(5,16%)</t>
  </si>
  <si>
    <t>DSF(5,16%)</t>
  </si>
  <si>
    <t>PV Project</t>
  </si>
  <si>
    <t>Depreciation</t>
  </si>
  <si>
    <t>Fisher Point</t>
  </si>
  <si>
    <t>AC=PV Inv *KWF(5,15%)</t>
  </si>
  <si>
    <t>PV Inv=-Inv+RV*ABF(5,15%)</t>
  </si>
  <si>
    <t>Bank Kredit 12%&lt;MARR</t>
  </si>
  <si>
    <t>Annual Payments for Kredit D6</t>
  </si>
  <si>
    <t>Own Capital</t>
  </si>
  <si>
    <t>FV of the Own Capital</t>
  </si>
  <si>
    <t>Annual Payments for the Investment</t>
  </si>
  <si>
    <t xml:space="preserve"> Year 6</t>
  </si>
  <si>
    <t>Annual Income Year 5 and 6</t>
  </si>
  <si>
    <t>Annual Expences Year 5 and 6</t>
  </si>
  <si>
    <t>RestValue at the Moment</t>
  </si>
  <si>
    <t>10Year Linear</t>
  </si>
  <si>
    <t>5 Year Linear</t>
  </si>
  <si>
    <t>RestValue New Machine Y5</t>
  </si>
  <si>
    <t>Salary Economy per Year with New Machine</t>
  </si>
  <si>
    <t>Taxes 40% Y</t>
  </si>
  <si>
    <t>RestValue*ABF(5,15%)=</t>
  </si>
  <si>
    <t>Standart Turnover</t>
  </si>
  <si>
    <t>&gt;</t>
  </si>
  <si>
    <t>&lt;</t>
  </si>
  <si>
    <r>
      <t xml:space="preserve">4Y                                                  </t>
    </r>
    <r>
      <rPr>
        <b/>
        <sz val="14"/>
        <color rgb="FFFF0000"/>
        <rFont val="Calibri"/>
        <family val="2"/>
        <charset val="204"/>
        <scheme val="minor"/>
      </rPr>
      <t xml:space="preserve"> 3Y9M</t>
    </r>
  </si>
  <si>
    <r>
      <t xml:space="preserve">4Y                            </t>
    </r>
    <r>
      <rPr>
        <b/>
        <sz val="14"/>
        <color rgb="FFFF0000"/>
        <rFont val="Calibri"/>
        <family val="2"/>
        <charset val="204"/>
        <scheme val="minor"/>
      </rPr>
      <t xml:space="preserve">    3Y9M</t>
    </r>
  </si>
  <si>
    <t>Ammortization</t>
  </si>
  <si>
    <r>
      <t>PB</t>
    </r>
    <r>
      <rPr>
        <b/>
        <sz val="8"/>
        <color theme="1"/>
        <rFont val="Calibri"/>
        <family val="2"/>
        <charset val="204"/>
        <scheme val="minor"/>
      </rPr>
      <t>B</t>
    </r>
    <r>
      <rPr>
        <sz val="11"/>
        <color theme="1"/>
        <rFont val="Calibri"/>
        <family val="2"/>
        <scheme val="minor"/>
      </rPr>
      <t>=12700</t>
    </r>
  </si>
  <si>
    <t>B&gt;A</t>
  </si>
  <si>
    <t>NPVB&gt;NPVA</t>
  </si>
  <si>
    <r>
      <t>PB</t>
    </r>
    <r>
      <rPr>
        <b/>
        <sz val="8"/>
        <color theme="1"/>
        <rFont val="Calibri"/>
        <family val="2"/>
        <charset val="204"/>
        <scheme val="minor"/>
      </rPr>
      <t>A</t>
    </r>
    <r>
      <rPr>
        <sz val="11"/>
        <color theme="1"/>
        <rFont val="Calibri"/>
        <family val="2"/>
        <scheme val="minor"/>
      </rPr>
      <t>=8000</t>
    </r>
  </si>
  <si>
    <r>
      <t>T</t>
    </r>
    <r>
      <rPr>
        <b/>
        <sz val="9"/>
        <color theme="1"/>
        <rFont val="Calibri"/>
        <family val="2"/>
        <charset val="204"/>
        <scheme val="minor"/>
      </rPr>
      <t>f=8%</t>
    </r>
  </si>
  <si>
    <t>A&gt;B</t>
  </si>
  <si>
    <t>NPVB&lt;NPVA</t>
  </si>
  <si>
    <t>l</t>
  </si>
  <si>
    <r>
      <t>IRR</t>
    </r>
    <r>
      <rPr>
        <b/>
        <sz val="8"/>
        <color theme="1"/>
        <rFont val="Calibri"/>
        <family val="2"/>
        <charset val="204"/>
        <scheme val="minor"/>
      </rPr>
      <t>B</t>
    </r>
    <r>
      <rPr>
        <sz val="11"/>
        <color theme="1"/>
        <rFont val="Calibri"/>
        <family val="2"/>
        <scheme val="minor"/>
      </rPr>
      <t>=9.53%</t>
    </r>
  </si>
  <si>
    <r>
      <t>IRR</t>
    </r>
    <r>
      <rPr>
        <b/>
        <sz val="8"/>
        <color theme="1"/>
        <rFont val="Calibri"/>
        <family val="2"/>
        <charset val="204"/>
        <scheme val="minor"/>
      </rPr>
      <t>A</t>
    </r>
    <r>
      <rPr>
        <sz val="11"/>
        <color theme="1"/>
        <rFont val="Calibri"/>
        <family val="2"/>
        <scheme val="minor"/>
      </rPr>
      <t>=10.32%</t>
    </r>
  </si>
  <si>
    <t>Pr A</t>
  </si>
  <si>
    <t>Pr B</t>
  </si>
  <si>
    <t>Pr (B-A)</t>
  </si>
  <si>
    <t>Pr(A-B)</t>
  </si>
  <si>
    <t>Y0</t>
  </si>
  <si>
    <t>Y1</t>
  </si>
  <si>
    <t>Y2</t>
  </si>
  <si>
    <t>Y3</t>
  </si>
  <si>
    <t>Y4</t>
  </si>
  <si>
    <t>Y5</t>
  </si>
  <si>
    <t>Y6</t>
  </si>
  <si>
    <t>Y7</t>
  </si>
  <si>
    <t>PB A</t>
  </si>
  <si>
    <t>PB B</t>
  </si>
  <si>
    <t>0&lt;l&lt;=0.08</t>
  </si>
  <si>
    <t>0.08&lt;l&lt;=10.28</t>
  </si>
  <si>
    <t>PV(1,10%)=</t>
  </si>
  <si>
    <t>5 banana/per 1 kg (1banan=1 fresh)</t>
  </si>
  <si>
    <t>Price</t>
  </si>
  <si>
    <t>Revenue</t>
  </si>
  <si>
    <t>01.01.21 1kg banana =1 BGN</t>
  </si>
  <si>
    <t>2021 10% inflation</t>
  </si>
  <si>
    <t>31.12.2021 1kg banan= 1.1 BGN</t>
  </si>
  <si>
    <t>Loan</t>
  </si>
  <si>
    <t>Ainterest</t>
  </si>
  <si>
    <t>1 week</t>
  </si>
  <si>
    <t>Payment</t>
  </si>
  <si>
    <t>1 Year</t>
  </si>
  <si>
    <t>2 Y</t>
  </si>
  <si>
    <t>1000=1100*(1+0.1)^(-1)=1210*(1+0.1)^(-2)</t>
  </si>
  <si>
    <t>MARR=</t>
  </si>
  <si>
    <t>Price of working capital+ 0.7*Yinflation+ Yprofit=l</t>
  </si>
  <si>
    <t>PrWC+0.7*Yinfl.+Ypr</t>
  </si>
  <si>
    <t>MARR=0.1</t>
  </si>
  <si>
    <t>NPV&gt;0 (0,13.8%)</t>
  </si>
  <si>
    <t>MARR=12%</t>
  </si>
  <si>
    <t>MARR=16%</t>
  </si>
  <si>
    <t>d1</t>
  </si>
  <si>
    <t>d2</t>
  </si>
  <si>
    <t>d3</t>
  </si>
  <si>
    <t>d4</t>
  </si>
  <si>
    <t>f1</t>
  </si>
  <si>
    <t>f2</t>
  </si>
  <si>
    <t>f3</t>
  </si>
  <si>
    <t>f4</t>
  </si>
  <si>
    <t>Calculate the optimal Project</t>
  </si>
  <si>
    <t>18000*DSF(3,16%)=</t>
  </si>
  <si>
    <t>DSF(n,l)=(1-ABF(n,l))/l</t>
  </si>
  <si>
    <t>ABF(3,16%)=</t>
  </si>
  <si>
    <t>DSF(3,16%)=</t>
  </si>
  <si>
    <t>PB &lt;</t>
  </si>
  <si>
    <t>IRR &gt;</t>
  </si>
  <si>
    <t>(0%,33.33%)</t>
  </si>
  <si>
    <t>(33.33%,45.13%</t>
  </si>
  <si>
    <t>NPV(3,34%)=</t>
  </si>
  <si>
    <t>IRR &lt;</t>
  </si>
  <si>
    <t xml:space="preserve">B&gt;A </t>
  </si>
  <si>
    <t>(0%,31,57%)</t>
  </si>
  <si>
    <t>Y8</t>
  </si>
  <si>
    <t>Y9</t>
  </si>
  <si>
    <t>Y10</t>
  </si>
  <si>
    <t>S10</t>
  </si>
  <si>
    <t>Sk=0</t>
  </si>
  <si>
    <t>tF</t>
  </si>
  <si>
    <t>MARR=Cprice</t>
  </si>
  <si>
    <t>(0,8.14%)</t>
  </si>
  <si>
    <t>CP</t>
  </si>
  <si>
    <t>(8.14%+</t>
  </si>
  <si>
    <t>CF A</t>
  </si>
  <si>
    <t>CB B</t>
  </si>
  <si>
    <t>RV2(end 5Y)</t>
  </si>
  <si>
    <t>IRR&lt;</t>
  </si>
  <si>
    <t>min</t>
  </si>
  <si>
    <t>Max</t>
  </si>
  <si>
    <t>1. Maxmin</t>
  </si>
  <si>
    <t>2. Hurvitz</t>
  </si>
  <si>
    <t>p1+p2=1</t>
  </si>
  <si>
    <t>p1,p2&gt;0</t>
  </si>
  <si>
    <t>H=p1*min+p2*Max</t>
  </si>
  <si>
    <t>EP</t>
  </si>
  <si>
    <t>↓</t>
  </si>
  <si>
    <t>↑</t>
  </si>
  <si>
    <t>p1</t>
  </si>
  <si>
    <t>p 2</t>
  </si>
  <si>
    <t>H=</t>
  </si>
  <si>
    <r>
      <t>BL=p1*</t>
    </r>
    <r>
      <rPr>
        <b/>
        <sz val="14"/>
        <color theme="1"/>
        <rFont val="Calibri"/>
        <family val="2"/>
        <charset val="204"/>
        <scheme val="minor"/>
      </rPr>
      <t>d1</t>
    </r>
    <r>
      <rPr>
        <sz val="14"/>
        <color theme="1"/>
        <rFont val="Calibri"/>
        <family val="2"/>
        <charset val="204"/>
        <scheme val="minor"/>
      </rPr>
      <t>+p2*</t>
    </r>
    <r>
      <rPr>
        <b/>
        <sz val="14"/>
        <color theme="1"/>
        <rFont val="Calibri"/>
        <family val="2"/>
        <charset val="204"/>
        <scheme val="minor"/>
      </rPr>
      <t>d2</t>
    </r>
    <r>
      <rPr>
        <sz val="14"/>
        <color theme="1"/>
        <rFont val="Calibri"/>
        <family val="2"/>
        <charset val="204"/>
        <scheme val="minor"/>
      </rPr>
      <t>+p3*</t>
    </r>
    <r>
      <rPr>
        <b/>
        <sz val="14"/>
        <color theme="1"/>
        <rFont val="Calibri"/>
        <family val="2"/>
        <charset val="204"/>
        <scheme val="minor"/>
      </rPr>
      <t>d3</t>
    </r>
    <r>
      <rPr>
        <sz val="14"/>
        <color theme="1"/>
        <rFont val="Calibri"/>
        <family val="2"/>
        <charset val="204"/>
        <scheme val="minor"/>
      </rPr>
      <t>+p4*</t>
    </r>
    <r>
      <rPr>
        <b/>
        <sz val="14"/>
        <color theme="1"/>
        <rFont val="Calibri"/>
        <family val="2"/>
        <charset val="204"/>
        <scheme val="minor"/>
      </rPr>
      <t>d4</t>
    </r>
  </si>
  <si>
    <t>p1+p2+p3+p4=1</t>
  </si>
  <si>
    <t>p1,p2,p3,p4&gt;0</t>
  </si>
  <si>
    <t>p2</t>
  </si>
  <si>
    <t>p3</t>
  </si>
  <si>
    <t>p4</t>
  </si>
  <si>
    <t>BL=</t>
  </si>
  <si>
    <t>Deviation Matrix</t>
  </si>
  <si>
    <t>MAX DM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</si>
</sst>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#,##0.00_);[Red]\(&quot;$&quot;#,##0.00\)"/>
    <numFmt numFmtId="164" formatCode="#,##0\ &quot;лв.&quot;;[Red]\-#,##0\ &quot;лв.&quot;"/>
    <numFmt numFmtId="165" formatCode="#,##0.00\ &quot;лв.&quot;;[Red]\-#,##0.00\ &quot;лв.&quot;"/>
    <numFmt numFmtId="166" formatCode="#,##0.00_ ;[Red]\-#,##0.00\ "/>
    <numFmt numFmtId="167" formatCode="#,##0_ ;[Red]\-#,##0\ "/>
    <numFmt numFmtId="168" formatCode="0.000"/>
    <numFmt numFmtId="169" formatCode="0.0000"/>
    <numFmt numFmtId="170" formatCode="0.0"/>
    <numFmt numFmtId="171" formatCode="#,##0.0_);[Red]\(#,##0.0\)"/>
  </numFmts>
  <fonts count="3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name val="Arial"/>
      <family val="2"/>
      <charset val="204"/>
    </font>
    <font>
      <b/>
      <sz val="14"/>
      <name val="Arial"/>
      <family val="2"/>
    </font>
    <font>
      <sz val="14"/>
      <name val="Arial"/>
      <family val="2"/>
    </font>
    <font>
      <b/>
      <sz val="16"/>
      <color rgb="FFFF0000"/>
      <name val="Calibri"/>
      <family val="2"/>
      <charset val="204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rgb="FFFF0000"/>
      <name val="Arial"/>
      <family val="2"/>
    </font>
    <font>
      <b/>
      <sz val="14"/>
      <color rgb="FF00B0F0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color rgb="FF0070C0"/>
      <name val="Calibri"/>
      <family val="2"/>
      <scheme val="minor"/>
    </font>
    <font>
      <sz val="14"/>
      <color rgb="FF0070C0"/>
      <name val="Calibri"/>
      <family val="2"/>
      <scheme val="minor"/>
    </font>
    <font>
      <b/>
      <sz val="14"/>
      <color rgb="FF0070C0"/>
      <name val="Calibri"/>
      <family val="2"/>
      <charset val="204"/>
      <scheme val="minor"/>
    </font>
    <font>
      <b/>
      <sz val="12"/>
      <name val="Arial"/>
      <family val="2"/>
    </font>
    <font>
      <sz val="12"/>
      <name val="Arial"/>
      <family val="2"/>
    </font>
    <font>
      <sz val="14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14"/>
      <color rgb="FFFF0000"/>
      <name val="Arial"/>
      <family val="2"/>
      <charset val="204"/>
    </font>
    <font>
      <sz val="14"/>
      <color theme="1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40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3" fillId="0" borderId="0" xfId="0" applyFont="1"/>
    <xf numFmtId="0" fontId="0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2" fontId="0" fillId="0" borderId="0" xfId="0" applyNumberFormat="1" applyFont="1"/>
    <xf numFmtId="1" fontId="0" fillId="0" borderId="0" xfId="0" applyNumberFormat="1" applyFont="1"/>
    <xf numFmtId="0" fontId="4" fillId="2" borderId="0" xfId="0" applyNumberFormat="1" applyFont="1" applyFill="1"/>
    <xf numFmtId="0" fontId="0" fillId="0" borderId="0" xfId="0" applyNumberFormat="1" applyFont="1"/>
    <xf numFmtId="0" fontId="1" fillId="2" borderId="0" xfId="0" applyFont="1" applyFill="1"/>
    <xf numFmtId="0" fontId="3" fillId="2" borderId="0" xfId="0" applyFont="1" applyFill="1"/>
    <xf numFmtId="0" fontId="10" fillId="0" borderId="0" xfId="0" applyFont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1" fillId="3" borderId="0" xfId="0" applyFont="1" applyFill="1"/>
    <xf numFmtId="9" fontId="1" fillId="0" borderId="0" xfId="0" applyNumberFormat="1" applyFont="1"/>
    <xf numFmtId="0" fontId="11" fillId="0" borderId="0" xfId="1" applyFont="1" applyAlignment="1">
      <alignment wrapText="1"/>
    </xf>
    <xf numFmtId="0" fontId="12" fillId="0" borderId="0" xfId="1" applyFont="1" applyAlignment="1">
      <alignment horizontal="center" wrapText="1"/>
    </xf>
    <xf numFmtId="0" fontId="11" fillId="0" borderId="0" xfId="1" applyFont="1" applyAlignment="1">
      <alignment horizontal="center" wrapText="1"/>
    </xf>
    <xf numFmtId="0" fontId="13" fillId="0" borderId="0" xfId="1" applyFont="1" applyAlignment="1">
      <alignment wrapText="1"/>
    </xf>
    <xf numFmtId="0" fontId="13" fillId="0" borderId="0" xfId="1" applyFont="1" applyAlignment="1">
      <alignment horizontal="center" wrapText="1"/>
    </xf>
    <xf numFmtId="0" fontId="6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10" fontId="7" fillId="0" borderId="0" xfId="0" applyNumberFormat="1" applyFont="1" applyAlignment="1">
      <alignment horizontal="center"/>
    </xf>
    <xf numFmtId="0" fontId="6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7" fillId="2" borderId="0" xfId="0" applyFont="1" applyFill="1"/>
    <xf numFmtId="0" fontId="10" fillId="2" borderId="0" xfId="0" applyFont="1" applyFill="1"/>
    <xf numFmtId="4" fontId="2" fillId="2" borderId="0" xfId="0" applyNumberFormat="1" applyFont="1" applyFill="1" applyAlignment="1">
      <alignment horizontal="center"/>
    </xf>
    <xf numFmtId="9" fontId="3" fillId="2" borderId="0" xfId="0" applyNumberFormat="1" applyFont="1" applyFill="1"/>
    <xf numFmtId="9" fontId="10" fillId="2" borderId="0" xfId="0" applyNumberFormat="1" applyFont="1" applyFill="1"/>
    <xf numFmtId="0" fontId="2" fillId="4" borderId="0" xfId="0" applyFont="1" applyFill="1"/>
    <xf numFmtId="9" fontId="10" fillId="0" borderId="0" xfId="0" applyNumberFormat="1" applyFont="1"/>
    <xf numFmtId="8" fontId="1" fillId="0" borderId="0" xfId="0" applyNumberFormat="1" applyFont="1"/>
    <xf numFmtId="1" fontId="1" fillId="0" borderId="0" xfId="0" applyNumberFormat="1" applyFont="1"/>
    <xf numFmtId="0" fontId="3" fillId="0" borderId="0" xfId="0" applyFont="1" applyAlignment="1">
      <alignment horizontal="center"/>
    </xf>
    <xf numFmtId="40" fontId="1" fillId="0" borderId="0" xfId="0" applyNumberFormat="1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7" fillId="2" borderId="0" xfId="0" applyFont="1" applyFill="1"/>
    <xf numFmtId="0" fontId="3" fillId="4" borderId="0" xfId="0" applyFont="1" applyFill="1"/>
    <xf numFmtId="166" fontId="10" fillId="2" borderId="0" xfId="0" applyNumberFormat="1" applyFont="1" applyFill="1"/>
    <xf numFmtId="0" fontId="18" fillId="2" borderId="0" xfId="0" applyFont="1" applyFill="1"/>
    <xf numFmtId="9" fontId="17" fillId="0" borderId="0" xfId="0" applyNumberFormat="1" applyFont="1"/>
    <xf numFmtId="9" fontId="17" fillId="2" borderId="0" xfId="0" applyNumberFormat="1" applyFont="1" applyFill="1"/>
    <xf numFmtId="0" fontId="1" fillId="0" borderId="0" xfId="0" applyFont="1" applyFill="1"/>
    <xf numFmtId="0" fontId="13" fillId="5" borderId="0" xfId="1" applyFont="1" applyFill="1" applyAlignment="1">
      <alignment wrapText="1"/>
    </xf>
    <xf numFmtId="0" fontId="19" fillId="0" borderId="0" xfId="1" applyFont="1" applyAlignment="1">
      <alignment wrapText="1"/>
    </xf>
    <xf numFmtId="0" fontId="1" fillId="5" borderId="0" xfId="0" applyFont="1" applyFill="1"/>
    <xf numFmtId="0" fontId="17" fillId="0" borderId="0" xfId="0" applyFont="1" applyFill="1"/>
    <xf numFmtId="0" fontId="18" fillId="5" borderId="0" xfId="0" applyFont="1" applyFill="1"/>
    <xf numFmtId="0" fontId="18" fillId="5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167" fontId="18" fillId="0" borderId="0" xfId="0" applyNumberFormat="1" applyFont="1"/>
    <xf numFmtId="0" fontId="18" fillId="0" borderId="0" xfId="0" applyFont="1"/>
    <xf numFmtId="1" fontId="17" fillId="0" borderId="0" xfId="0" applyNumberFormat="1" applyFont="1"/>
    <xf numFmtId="10" fontId="18" fillId="0" borderId="0" xfId="0" applyNumberFormat="1" applyFont="1"/>
    <xf numFmtId="2" fontId="1" fillId="0" borderId="0" xfId="0" applyNumberFormat="1" applyFont="1"/>
    <xf numFmtId="2" fontId="3" fillId="2" borderId="0" xfId="0" applyNumberFormat="1" applyFont="1" applyFill="1"/>
    <xf numFmtId="1" fontId="3" fillId="2" borderId="0" xfId="0" applyNumberFormat="1" applyFont="1" applyFill="1"/>
    <xf numFmtId="1" fontId="18" fillId="0" borderId="0" xfId="0" applyNumberFormat="1" applyFont="1"/>
    <xf numFmtId="0" fontId="20" fillId="2" borderId="0" xfId="0" applyFont="1" applyFill="1"/>
    <xf numFmtId="0" fontId="13" fillId="0" borderId="0" xfId="1" applyFont="1" applyAlignment="1">
      <alignment horizontal="left" wrapText="1"/>
    </xf>
    <xf numFmtId="2" fontId="13" fillId="0" borderId="0" xfId="1" applyNumberFormat="1" applyFont="1" applyAlignment="1">
      <alignment wrapText="1"/>
    </xf>
    <xf numFmtId="1" fontId="18" fillId="2" borderId="0" xfId="0" applyNumberFormat="1" applyFont="1" applyFill="1"/>
    <xf numFmtId="165" fontId="17" fillId="0" borderId="0" xfId="0" applyNumberFormat="1" applyFont="1"/>
    <xf numFmtId="164" fontId="17" fillId="0" borderId="0" xfId="0" applyNumberFormat="1" applyFont="1"/>
    <xf numFmtId="168" fontId="2" fillId="2" borderId="0" xfId="0" applyNumberFormat="1" applyFont="1" applyFill="1"/>
    <xf numFmtId="0" fontId="3" fillId="0" borderId="0" xfId="0" applyFont="1" applyFill="1"/>
    <xf numFmtId="1" fontId="3" fillId="0" borderId="0" xfId="0" applyNumberFormat="1" applyFont="1"/>
    <xf numFmtId="9" fontId="18" fillId="0" borderId="0" xfId="0" applyNumberFormat="1" applyFont="1"/>
    <xf numFmtId="9" fontId="16" fillId="0" borderId="0" xfId="0" applyNumberFormat="1" applyFont="1"/>
    <xf numFmtId="1" fontId="4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9" fillId="2" borderId="0" xfId="0" applyNumberFormat="1" applyFont="1" applyFill="1"/>
    <xf numFmtId="1" fontId="4" fillId="2" borderId="0" xfId="0" applyNumberFormat="1" applyFont="1" applyFill="1"/>
    <xf numFmtId="10" fontId="18" fillId="2" borderId="0" xfId="0" applyNumberFormat="1" applyFont="1" applyFill="1"/>
    <xf numFmtId="10" fontId="17" fillId="2" borderId="0" xfId="0" applyNumberFormat="1" applyFont="1" applyFill="1"/>
    <xf numFmtId="8" fontId="10" fillId="0" borderId="0" xfId="0" applyNumberFormat="1" applyFont="1"/>
    <xf numFmtId="2" fontId="17" fillId="2" borderId="0" xfId="0" applyNumberFormat="1" applyFont="1" applyFill="1"/>
    <xf numFmtId="10" fontId="2" fillId="2" borderId="0" xfId="0" applyNumberFormat="1" applyFont="1" applyFill="1"/>
    <xf numFmtId="0" fontId="0" fillId="0" borderId="0" xfId="0" applyAlignment="1">
      <alignment horizontal="right"/>
    </xf>
    <xf numFmtId="0" fontId="22" fillId="0" borderId="0" xfId="0" applyFont="1" applyAlignment="1">
      <alignment horizontal="center"/>
    </xf>
    <xf numFmtId="2" fontId="2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" fontId="24" fillId="0" borderId="0" xfId="0" applyNumberFormat="1" applyFont="1" applyAlignment="1">
      <alignment horizontal="center"/>
    </xf>
    <xf numFmtId="2" fontId="18" fillId="0" borderId="0" xfId="0" applyNumberFormat="1" applyFont="1" applyAlignment="1">
      <alignment horizontal="center"/>
    </xf>
    <xf numFmtId="2" fontId="25" fillId="0" borderId="0" xfId="0" applyNumberFormat="1" applyFont="1" applyAlignment="1">
      <alignment horizontal="center"/>
    </xf>
    <xf numFmtId="2" fontId="18" fillId="0" borderId="0" xfId="0" applyNumberFormat="1" applyFont="1"/>
    <xf numFmtId="2" fontId="17" fillId="0" borderId="0" xfId="0" applyNumberFormat="1" applyFont="1"/>
    <xf numFmtId="2" fontId="18" fillId="2" borderId="0" xfId="0" applyNumberFormat="1" applyFont="1" applyFill="1"/>
    <xf numFmtId="169" fontId="17" fillId="0" borderId="0" xfId="0" applyNumberFormat="1" applyFont="1"/>
    <xf numFmtId="169" fontId="17" fillId="0" borderId="0" xfId="0" applyNumberFormat="1" applyFont="1" applyAlignment="1">
      <alignment horizontal="center" vertical="center"/>
    </xf>
    <xf numFmtId="2" fontId="17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9" fontId="1" fillId="0" borderId="0" xfId="0" applyNumberFormat="1" applyFont="1"/>
    <xf numFmtId="170" fontId="1" fillId="0" borderId="0" xfId="0" applyNumberFormat="1" applyFont="1"/>
    <xf numFmtId="169" fontId="17" fillId="2" borderId="0" xfId="0" applyNumberFormat="1" applyFont="1" applyFill="1"/>
    <xf numFmtId="0" fontId="2" fillId="0" borderId="0" xfId="0" applyFont="1" applyFill="1" applyAlignment="1">
      <alignment horizontal="center"/>
    </xf>
    <xf numFmtId="9" fontId="1" fillId="0" borderId="0" xfId="0" applyNumberFormat="1" applyFont="1" applyFill="1"/>
    <xf numFmtId="10" fontId="18" fillId="0" borderId="0" xfId="0" applyNumberFormat="1" applyFont="1" applyFill="1" applyAlignment="1">
      <alignment horizontal="center"/>
    </xf>
    <xf numFmtId="10" fontId="17" fillId="3" borderId="0" xfId="0" applyNumberFormat="1" applyFont="1" applyFill="1"/>
    <xf numFmtId="0" fontId="2" fillId="0" borderId="0" xfId="0" applyFont="1" applyFill="1"/>
    <xf numFmtId="40" fontId="18" fillId="0" borderId="0" xfId="0" applyNumberFormat="1" applyFont="1"/>
    <xf numFmtId="171" fontId="17" fillId="2" borderId="0" xfId="0" applyNumberFormat="1" applyFont="1" applyFill="1"/>
    <xf numFmtId="10" fontId="3" fillId="0" borderId="0" xfId="0" applyNumberFormat="1" applyFont="1" applyFill="1"/>
    <xf numFmtId="10" fontId="3" fillId="2" borderId="0" xfId="0" applyNumberFormat="1" applyFont="1" applyFill="1"/>
    <xf numFmtId="8" fontId="18" fillId="0" borderId="0" xfId="0" applyNumberFormat="1" applyFont="1"/>
    <xf numFmtId="8" fontId="17" fillId="0" borderId="0" xfId="0" applyNumberFormat="1" applyFont="1"/>
    <xf numFmtId="1" fontId="18" fillId="0" borderId="0" xfId="0" applyNumberFormat="1" applyFont="1" applyAlignment="1">
      <alignment horizontal="center"/>
    </xf>
    <xf numFmtId="2" fontId="26" fillId="0" borderId="0" xfId="0" applyNumberFormat="1" applyFont="1" applyAlignment="1">
      <alignment horizontal="center"/>
    </xf>
    <xf numFmtId="2" fontId="27" fillId="0" borderId="0" xfId="0" applyNumberFormat="1" applyFont="1" applyAlignment="1">
      <alignment horizontal="center"/>
    </xf>
    <xf numFmtId="2" fontId="28" fillId="0" borderId="0" xfId="0" applyNumberFormat="1" applyFont="1" applyAlignment="1">
      <alignment horizontal="center"/>
    </xf>
    <xf numFmtId="0" fontId="29" fillId="0" borderId="0" xfId="1" applyFont="1" applyAlignment="1">
      <alignment horizontal="center" wrapText="1"/>
    </xf>
    <xf numFmtId="0" fontId="30" fillId="0" borderId="0" xfId="1" applyFont="1" applyAlignment="1">
      <alignment wrapText="1"/>
    </xf>
    <xf numFmtId="0" fontId="13" fillId="2" borderId="0" xfId="1" applyFont="1" applyFill="1" applyAlignment="1">
      <alignment wrapText="1"/>
    </xf>
    <xf numFmtId="0" fontId="13" fillId="6" borderId="0" xfId="1" applyFont="1" applyFill="1" applyAlignment="1">
      <alignment wrapText="1"/>
    </xf>
    <xf numFmtId="10" fontId="17" fillId="0" borderId="0" xfId="0" applyNumberFormat="1" applyFont="1"/>
    <xf numFmtId="167" fontId="18" fillId="0" borderId="0" xfId="0" applyNumberFormat="1" applyFont="1" applyAlignment="1">
      <alignment horizontal="center"/>
    </xf>
    <xf numFmtId="168" fontId="18" fillId="0" borderId="0" xfId="0" applyNumberFormat="1" applyFont="1"/>
    <xf numFmtId="0" fontId="13" fillId="7" borderId="0" xfId="1" applyFont="1" applyFill="1" applyAlignment="1">
      <alignment wrapText="1"/>
    </xf>
    <xf numFmtId="10" fontId="2" fillId="2" borderId="0" xfId="0" applyNumberFormat="1" applyFont="1" applyFill="1" applyAlignment="1">
      <alignment horizontal="center"/>
    </xf>
    <xf numFmtId="0" fontId="17" fillId="0" borderId="0" xfId="0" applyFont="1" applyAlignment="1">
      <alignment horizontal="center"/>
    </xf>
    <xf numFmtId="0" fontId="33" fillId="0" borderId="0" xfId="1" applyFont="1" applyAlignment="1">
      <alignment wrapText="1"/>
    </xf>
    <xf numFmtId="0" fontId="34" fillId="0" borderId="0" xfId="0" applyFont="1"/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603250</xdr:colOff>
      <xdr:row>1</xdr:row>
      <xdr:rowOff>19050</xdr:rowOff>
    </xdr:from>
    <xdr:to>
      <xdr:col>5</xdr:col>
      <xdr:colOff>603250</xdr:colOff>
      <xdr:row>13</xdr:row>
      <xdr:rowOff>57150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3EAD8D4C-8D6C-418A-AA58-E34B2B607587}"/>
            </a:ext>
          </a:extLst>
        </xdr:cNvPr>
        <xdr:cNvCxnSpPr/>
      </xdr:nvCxnSpPr>
      <xdr:spPr>
        <a:xfrm flipV="1">
          <a:off x="3308350" y="203200"/>
          <a:ext cx="0" cy="2260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13</xdr:row>
      <xdr:rowOff>177800</xdr:rowOff>
    </xdr:from>
    <xdr:to>
      <xdr:col>15</xdr:col>
      <xdr:colOff>342900</xdr:colOff>
      <xdr:row>13</xdr:row>
      <xdr:rowOff>177800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DC3843FC-8346-4B02-ACB8-E439AD5E6B71}"/>
            </a:ext>
          </a:extLst>
        </xdr:cNvPr>
        <xdr:cNvCxnSpPr/>
      </xdr:nvCxnSpPr>
      <xdr:spPr>
        <a:xfrm>
          <a:off x="3314700" y="2584450"/>
          <a:ext cx="58293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603250</xdr:colOff>
      <xdr:row>3</xdr:row>
      <xdr:rowOff>107950</xdr:rowOff>
    </xdr:from>
    <xdr:to>
      <xdr:col>11</xdr:col>
      <xdr:colOff>577850</xdr:colOff>
      <xdr:row>16</xdr:row>
      <xdr:rowOff>76200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F6A070F-71AE-4620-AE75-49BFF1004809}"/>
            </a:ext>
          </a:extLst>
        </xdr:cNvPr>
        <xdr:cNvCxnSpPr/>
      </xdr:nvCxnSpPr>
      <xdr:spPr>
        <a:xfrm>
          <a:off x="3308350" y="660400"/>
          <a:ext cx="3632200" cy="23749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44450</xdr:colOff>
      <xdr:row>7</xdr:row>
      <xdr:rowOff>25400</xdr:rowOff>
    </xdr:from>
    <xdr:to>
      <xdr:col>15</xdr:col>
      <xdr:colOff>273050</xdr:colOff>
      <xdr:row>15</xdr:row>
      <xdr:rowOff>6350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34DBC4C-94BE-4601-81B1-842A2164454B}"/>
            </a:ext>
          </a:extLst>
        </xdr:cNvPr>
        <xdr:cNvCxnSpPr/>
      </xdr:nvCxnSpPr>
      <xdr:spPr>
        <a:xfrm>
          <a:off x="3359150" y="1314450"/>
          <a:ext cx="5715000" cy="1466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I12"/>
  <sheetViews>
    <sheetView workbookViewId="0">
      <selection activeCell="G7" sqref="G7"/>
    </sheetView>
  </sheetViews>
  <sheetFormatPr defaultColWidth="8.81640625" defaultRowHeight="18.5" x14ac:dyDescent="0.45"/>
  <cols>
    <col min="1" max="1" width="43.7265625" style="1" customWidth="1"/>
    <col min="2" max="2" width="9.1796875" style="1" customWidth="1"/>
    <col min="3" max="5" width="11.7265625" style="1" customWidth="1"/>
    <col min="6" max="16384" width="8.81640625" style="1"/>
  </cols>
  <sheetData>
    <row r="1" spans="1:9" x14ac:dyDescent="0.45">
      <c r="A1" s="2" t="s">
        <v>0</v>
      </c>
      <c r="B1" s="2"/>
      <c r="C1" s="2" t="s">
        <v>1</v>
      </c>
      <c r="D1" s="2"/>
      <c r="E1" s="2" t="s">
        <v>2</v>
      </c>
      <c r="H1" s="1" t="s">
        <v>11</v>
      </c>
      <c r="I1" s="1" t="s">
        <v>12</v>
      </c>
    </row>
    <row r="2" spans="1:9" x14ac:dyDescent="0.45">
      <c r="A2" s="2" t="s">
        <v>10</v>
      </c>
      <c r="B2" s="2">
        <f>C2</f>
        <v>-20000</v>
      </c>
      <c r="C2" s="2">
        <v>-20000</v>
      </c>
      <c r="D2" s="2"/>
      <c r="E2" s="2">
        <v>-20000</v>
      </c>
      <c r="F2" s="1">
        <f>E2</f>
        <v>-20000</v>
      </c>
      <c r="H2" s="1">
        <v>-1000</v>
      </c>
      <c r="I2" s="1">
        <v>-1000</v>
      </c>
    </row>
    <row r="3" spans="1:9" x14ac:dyDescent="0.45">
      <c r="A3" s="1" t="s">
        <v>3</v>
      </c>
      <c r="B3" s="1">
        <f>B2+C3</f>
        <v>-14000</v>
      </c>
      <c r="C3" s="1">
        <v>6000</v>
      </c>
      <c r="E3" s="1">
        <v>2000</v>
      </c>
      <c r="F3" s="1">
        <f>F2+E3</f>
        <v>-18000</v>
      </c>
      <c r="H3" s="1">
        <v>750</v>
      </c>
      <c r="I3" s="1">
        <v>350</v>
      </c>
    </row>
    <row r="4" spans="1:9" x14ac:dyDescent="0.45">
      <c r="A4" s="1" t="s">
        <v>4</v>
      </c>
      <c r="B4" s="1">
        <f>B3+C4</f>
        <v>-7000</v>
      </c>
      <c r="C4" s="1">
        <v>7000</v>
      </c>
      <c r="E4" s="1">
        <v>3000</v>
      </c>
      <c r="F4" s="1">
        <f t="shared" ref="F4:F9" si="0">F3+E4</f>
        <v>-15000</v>
      </c>
      <c r="H4" s="1">
        <v>150</v>
      </c>
      <c r="I4" s="1">
        <v>350</v>
      </c>
    </row>
    <row r="5" spans="1:9" x14ac:dyDescent="0.45">
      <c r="A5" s="1" t="s">
        <v>5</v>
      </c>
      <c r="B5" s="15">
        <f>B4+C5</f>
        <v>-3000</v>
      </c>
      <c r="C5" s="15">
        <v>4000</v>
      </c>
      <c r="D5" s="15"/>
      <c r="E5" s="15">
        <v>5000</v>
      </c>
      <c r="F5" s="1">
        <f t="shared" si="0"/>
        <v>-10000</v>
      </c>
      <c r="H5" s="1">
        <v>100</v>
      </c>
      <c r="I5" s="1">
        <v>300</v>
      </c>
    </row>
    <row r="6" spans="1:9" x14ac:dyDescent="0.45">
      <c r="A6" s="66" t="s">
        <v>231</v>
      </c>
      <c r="B6" s="17">
        <f>B5+C6</f>
        <v>1000</v>
      </c>
      <c r="C6" s="1">
        <v>4000</v>
      </c>
      <c r="E6" s="1">
        <v>6000</v>
      </c>
      <c r="F6" s="1">
        <f t="shared" si="0"/>
        <v>-4000</v>
      </c>
      <c r="H6" s="1">
        <v>100</v>
      </c>
      <c r="I6" s="1">
        <v>100</v>
      </c>
    </row>
    <row r="7" spans="1:9" x14ac:dyDescent="0.45">
      <c r="A7" s="1" t="s">
        <v>7</v>
      </c>
      <c r="B7" s="1">
        <f>B6+C7</f>
        <v>2000</v>
      </c>
      <c r="C7" s="1">
        <v>1000</v>
      </c>
      <c r="E7" s="1">
        <v>6000</v>
      </c>
      <c r="F7" s="15">
        <f t="shared" si="0"/>
        <v>2000</v>
      </c>
      <c r="G7" s="50" t="s">
        <v>129</v>
      </c>
      <c r="H7" s="38">
        <f>SUM(H2:H6)</f>
        <v>100</v>
      </c>
      <c r="I7" s="38">
        <f>SUM(I2:I6)</f>
        <v>100</v>
      </c>
    </row>
    <row r="8" spans="1:9" x14ac:dyDescent="0.45">
      <c r="A8" s="1" t="s">
        <v>8</v>
      </c>
      <c r="E8" s="1">
        <v>5000</v>
      </c>
      <c r="F8" s="1">
        <f t="shared" si="0"/>
        <v>7000</v>
      </c>
    </row>
    <row r="9" spans="1:9" x14ac:dyDescent="0.45">
      <c r="A9" s="1" t="s">
        <v>9</v>
      </c>
      <c r="E9" s="1">
        <v>5000</v>
      </c>
      <c r="F9" s="1">
        <f t="shared" si="0"/>
        <v>12000</v>
      </c>
    </row>
    <row r="10" spans="1:9" x14ac:dyDescent="0.45">
      <c r="C10" s="16">
        <f>SUM(C2:C9)</f>
        <v>2000</v>
      </c>
      <c r="D10" s="19" t="s">
        <v>230</v>
      </c>
      <c r="E10" s="16">
        <f>SUM(E2:E9)</f>
        <v>12000</v>
      </c>
    </row>
    <row r="12" spans="1:9" x14ac:dyDescent="0.45">
      <c r="B12" s="1">
        <f>B5/C5</f>
        <v>-0.75</v>
      </c>
      <c r="F12" s="1">
        <f>F6/E7</f>
        <v>-0.66666666666666663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I13"/>
  <sheetViews>
    <sheetView workbookViewId="0">
      <selection activeCell="B2" sqref="B2"/>
    </sheetView>
  </sheetViews>
  <sheetFormatPr defaultColWidth="8.81640625" defaultRowHeight="18.5" x14ac:dyDescent="0.45"/>
  <cols>
    <col min="1" max="1" width="36" style="1" customWidth="1"/>
    <col min="2" max="3" width="11.54296875" style="1" customWidth="1"/>
    <col min="4" max="4" width="23.08984375" style="1" customWidth="1"/>
    <col min="5" max="5" width="8.81640625" style="1"/>
    <col min="6" max="6" width="12" style="1" customWidth="1"/>
    <col min="7" max="7" width="14.453125" style="1" customWidth="1"/>
    <col min="8" max="8" width="17.1796875" style="1" customWidth="1"/>
    <col min="9" max="9" width="12.26953125" style="1" customWidth="1"/>
    <col min="10" max="10" width="12.7265625" style="1" customWidth="1"/>
    <col min="11" max="16384" width="8.81640625" style="1"/>
  </cols>
  <sheetData>
    <row r="1" spans="1:9" x14ac:dyDescent="0.45">
      <c r="A1" s="2" t="s">
        <v>13</v>
      </c>
      <c r="D1" s="54" t="s">
        <v>209</v>
      </c>
      <c r="E1" s="1" t="s">
        <v>103</v>
      </c>
    </row>
    <row r="2" spans="1:9" x14ac:dyDescent="0.45">
      <c r="A2" s="1" t="s">
        <v>14</v>
      </c>
      <c r="B2" s="1">
        <v>-20000</v>
      </c>
      <c r="C2" s="1">
        <v>-20000</v>
      </c>
      <c r="G2" s="54" t="s">
        <v>209</v>
      </c>
      <c r="H2" s="54">
        <v>-20000000</v>
      </c>
      <c r="I2" s="54">
        <v>-20000000</v>
      </c>
    </row>
    <row r="3" spans="1:9" x14ac:dyDescent="0.45">
      <c r="A3" s="1" t="s">
        <v>3</v>
      </c>
      <c r="B3" s="1">
        <v>4300</v>
      </c>
      <c r="C3" s="1">
        <f>C2+B3</f>
        <v>-15700</v>
      </c>
      <c r="D3" s="1">
        <f>-$C$2/5</f>
        <v>4000</v>
      </c>
      <c r="E3" s="17">
        <f>B3-D3</f>
        <v>300</v>
      </c>
      <c r="F3" s="1">
        <v>-20000</v>
      </c>
      <c r="G3" s="1">
        <f>-$H$2/5</f>
        <v>4000000</v>
      </c>
      <c r="H3" s="1">
        <v>5000000</v>
      </c>
      <c r="I3" s="1">
        <f>I2+G3</f>
        <v>-16000000</v>
      </c>
    </row>
    <row r="4" spans="1:9" x14ac:dyDescent="0.45">
      <c r="A4" s="1" t="s">
        <v>4</v>
      </c>
      <c r="B4" s="1">
        <v>4500</v>
      </c>
      <c r="C4" s="1">
        <f t="shared" ref="C4:C7" si="0">C3+B4</f>
        <v>-11200</v>
      </c>
      <c r="D4" s="1">
        <f t="shared" ref="D4:D7" si="1">-$C$2/5</f>
        <v>4000</v>
      </c>
      <c r="E4" s="17">
        <f t="shared" ref="E4:E7" si="2">B4-D4</f>
        <v>500</v>
      </c>
      <c r="F4" s="1">
        <v>-16000</v>
      </c>
      <c r="G4" s="1">
        <f t="shared" ref="G4:G7" si="3">-$H$2/5</f>
        <v>4000000</v>
      </c>
      <c r="H4" s="1">
        <v>5000000</v>
      </c>
      <c r="I4" s="1">
        <f t="shared" ref="I4:I6" si="4">I3+G4</f>
        <v>-12000000</v>
      </c>
    </row>
    <row r="5" spans="1:9" x14ac:dyDescent="0.45">
      <c r="A5" s="1" t="s">
        <v>5</v>
      </c>
      <c r="B5" s="1">
        <v>6000</v>
      </c>
      <c r="C5" s="1">
        <f t="shared" si="0"/>
        <v>-5200</v>
      </c>
      <c r="D5" s="1">
        <f t="shared" si="1"/>
        <v>4000</v>
      </c>
      <c r="E5" s="17">
        <f t="shared" si="2"/>
        <v>2000</v>
      </c>
      <c r="F5" s="1">
        <f>F4+D5</f>
        <v>-12000</v>
      </c>
      <c r="G5" s="1">
        <f t="shared" si="3"/>
        <v>4000000</v>
      </c>
      <c r="H5" s="1">
        <v>5000000</v>
      </c>
      <c r="I5" s="1">
        <f t="shared" si="4"/>
        <v>-8000000</v>
      </c>
    </row>
    <row r="6" spans="1:9" x14ac:dyDescent="0.45">
      <c r="A6" s="1" t="s">
        <v>232</v>
      </c>
      <c r="B6" s="1">
        <v>7000</v>
      </c>
      <c r="C6" s="54">
        <f t="shared" si="0"/>
        <v>1800</v>
      </c>
      <c r="D6" s="1">
        <f t="shared" si="1"/>
        <v>4000</v>
      </c>
      <c r="E6" s="17">
        <f t="shared" si="2"/>
        <v>3000</v>
      </c>
      <c r="F6" s="1">
        <f>F5+D6</f>
        <v>-8000</v>
      </c>
      <c r="G6" s="1">
        <f t="shared" si="3"/>
        <v>4000000</v>
      </c>
      <c r="H6" s="1">
        <v>5000000</v>
      </c>
      <c r="I6" s="1">
        <f t="shared" si="4"/>
        <v>-4000000</v>
      </c>
    </row>
    <row r="7" spans="1:9" x14ac:dyDescent="0.45">
      <c r="A7" s="1" t="s">
        <v>7</v>
      </c>
      <c r="B7" s="1">
        <v>6500</v>
      </c>
      <c r="C7" s="1">
        <f t="shared" si="0"/>
        <v>8300</v>
      </c>
      <c r="D7" s="1">
        <f t="shared" si="1"/>
        <v>4000</v>
      </c>
      <c r="E7" s="17">
        <f t="shared" si="2"/>
        <v>2500</v>
      </c>
      <c r="F7" s="1">
        <f>F6+D7</f>
        <v>-4000</v>
      </c>
      <c r="G7" s="1">
        <f t="shared" si="3"/>
        <v>4000000</v>
      </c>
      <c r="H7" s="1">
        <v>5000000</v>
      </c>
      <c r="I7" s="1">
        <f>SUM(I2:I6)</f>
        <v>-60000000</v>
      </c>
    </row>
    <row r="8" spans="1:9" x14ac:dyDescent="0.45">
      <c r="B8" s="19">
        <f>SUM(B2:B7)</f>
        <v>8300</v>
      </c>
      <c r="C8" s="18"/>
      <c r="D8" s="18">
        <f>SUM(D3:D7)</f>
        <v>20000</v>
      </c>
      <c r="E8" s="19">
        <f>SUM(E3:E7)</f>
        <v>8300</v>
      </c>
      <c r="F8" s="19">
        <f>SUM(F3:F7)</f>
        <v>-60000</v>
      </c>
      <c r="H8" s="17">
        <f>SUM(H2:H7)</f>
        <v>5000000</v>
      </c>
    </row>
    <row r="9" spans="1:9" x14ac:dyDescent="0.45">
      <c r="C9" s="1">
        <f>C5/B6</f>
        <v>-0.74285714285714288</v>
      </c>
    </row>
    <row r="10" spans="1:9" x14ac:dyDescent="0.45">
      <c r="D10" s="1" t="s">
        <v>130</v>
      </c>
      <c r="E10" s="66">
        <f>E8/5</f>
        <v>1660</v>
      </c>
      <c r="H10" s="1">
        <f>H8/5</f>
        <v>1000000</v>
      </c>
    </row>
    <row r="11" spans="1:9" x14ac:dyDescent="0.45">
      <c r="D11" s="1" t="s">
        <v>131</v>
      </c>
      <c r="E11" s="66">
        <f>-F8/5</f>
        <v>12000</v>
      </c>
      <c r="H11" s="1">
        <f>-I7/5</f>
        <v>12000000</v>
      </c>
    </row>
    <row r="12" spans="1:9" x14ac:dyDescent="0.45">
      <c r="D12" s="1" t="s">
        <v>132</v>
      </c>
      <c r="E12" s="16">
        <f>E10/E11</f>
        <v>0.13833333333333334</v>
      </c>
      <c r="F12" s="90">
        <f>E12</f>
        <v>0.13833333333333334</v>
      </c>
      <c r="H12" s="79">
        <f>H10/H11</f>
        <v>8.3333333333333329E-2</v>
      </c>
      <c r="I12" s="94">
        <f>H12</f>
        <v>8.3333333333333329E-2</v>
      </c>
    </row>
    <row r="13" spans="1:9" x14ac:dyDescent="0.45">
      <c r="D13" s="54" t="s">
        <v>233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I30"/>
  <sheetViews>
    <sheetView topLeftCell="A20" workbookViewId="0">
      <selection activeCell="D30" sqref="D30"/>
    </sheetView>
  </sheetViews>
  <sheetFormatPr defaultColWidth="8.81640625" defaultRowHeight="18.5" x14ac:dyDescent="0.45"/>
  <cols>
    <col min="1" max="1" width="46.7265625" style="1" customWidth="1"/>
    <col min="2" max="2" width="9.26953125" style="1" customWidth="1"/>
    <col min="3" max="3" width="14.54296875" style="1" bestFit="1" customWidth="1"/>
    <col min="4" max="4" width="13.7265625" style="1" bestFit="1" customWidth="1"/>
    <col min="5" max="7" width="8.81640625" style="1"/>
    <col min="8" max="8" width="17.08984375" style="1" customWidth="1"/>
    <col min="9" max="16384" width="8.81640625" style="1"/>
  </cols>
  <sheetData>
    <row r="1" spans="1:4" x14ac:dyDescent="0.45">
      <c r="A1" s="2" t="s">
        <v>15</v>
      </c>
      <c r="B1" s="2"/>
      <c r="C1" s="2" t="s">
        <v>1</v>
      </c>
      <c r="D1" s="2" t="s">
        <v>2</v>
      </c>
    </row>
    <row r="2" spans="1:4" x14ac:dyDescent="0.45">
      <c r="A2" s="2" t="s">
        <v>10</v>
      </c>
      <c r="B2" s="2"/>
      <c r="C2" s="2">
        <v>-9500</v>
      </c>
      <c r="D2" s="2">
        <v>-9500</v>
      </c>
    </row>
    <row r="3" spans="1:4" x14ac:dyDescent="0.45">
      <c r="A3" s="1" t="s">
        <v>3</v>
      </c>
      <c r="C3" s="1">
        <v>1000</v>
      </c>
      <c r="D3" s="1">
        <v>7000</v>
      </c>
    </row>
    <row r="4" spans="1:4" x14ac:dyDescent="0.45">
      <c r="A4" s="1" t="s">
        <v>4</v>
      </c>
      <c r="C4" s="1">
        <v>5000</v>
      </c>
      <c r="D4" s="1">
        <v>5000</v>
      </c>
    </row>
    <row r="5" spans="1:4" x14ac:dyDescent="0.45">
      <c r="A5" s="1" t="s">
        <v>5</v>
      </c>
      <c r="C5" s="1">
        <v>9000</v>
      </c>
      <c r="D5" s="1">
        <v>1000</v>
      </c>
    </row>
    <row r="6" spans="1:4" x14ac:dyDescent="0.45">
      <c r="A6" s="2" t="s">
        <v>16</v>
      </c>
      <c r="B6" s="2"/>
    </row>
    <row r="7" spans="1:4" x14ac:dyDescent="0.45">
      <c r="A7" s="3" t="s">
        <v>15</v>
      </c>
      <c r="B7" s="3"/>
    </row>
    <row r="8" spans="1:4" x14ac:dyDescent="0.45">
      <c r="A8" s="4" t="s">
        <v>17</v>
      </c>
      <c r="B8" s="4"/>
    </row>
    <row r="9" spans="1:4" x14ac:dyDescent="0.45">
      <c r="A9" s="3" t="s">
        <v>18</v>
      </c>
      <c r="B9" s="3"/>
    </row>
    <row r="20" spans="1:9" x14ac:dyDescent="0.45">
      <c r="A20" s="2" t="s">
        <v>15</v>
      </c>
      <c r="B20" s="2"/>
      <c r="C20" s="20" t="s">
        <v>1</v>
      </c>
      <c r="D20" s="20" t="s">
        <v>2</v>
      </c>
      <c r="F20" s="3" t="s">
        <v>138</v>
      </c>
      <c r="G20" s="1" t="s">
        <v>114</v>
      </c>
      <c r="H20" s="1" t="s">
        <v>279</v>
      </c>
    </row>
    <row r="21" spans="1:9" x14ac:dyDescent="0.45">
      <c r="A21" s="2" t="s">
        <v>133</v>
      </c>
      <c r="B21" s="2">
        <f>C21*H21</f>
        <v>-9500</v>
      </c>
      <c r="C21" s="2">
        <v>-9500</v>
      </c>
      <c r="D21" s="2">
        <v>-9500</v>
      </c>
      <c r="F21" s="15">
        <f>C21-D21</f>
        <v>0</v>
      </c>
      <c r="H21" s="1">
        <f>(1+$B$26)^(-I21)</f>
        <v>1</v>
      </c>
      <c r="I21" s="1">
        <v>0</v>
      </c>
    </row>
    <row r="22" spans="1:9" x14ac:dyDescent="0.45">
      <c r="A22" s="1" t="s">
        <v>134</v>
      </c>
      <c r="B22" s="2">
        <f t="shared" ref="B22:B24" si="0">C22*H22</f>
        <v>892.85714285714278</v>
      </c>
      <c r="C22" s="1">
        <v>1000</v>
      </c>
      <c r="D22" s="1">
        <v>7000</v>
      </c>
      <c r="F22" s="15">
        <f t="shared" ref="F22:F24" si="1">C22-D22</f>
        <v>-6000</v>
      </c>
      <c r="H22" s="1">
        <f t="shared" ref="H22:H24" si="2">(1+$B$26)^(-I22)</f>
        <v>0.89285714285714279</v>
      </c>
      <c r="I22" s="1">
        <v>1</v>
      </c>
    </row>
    <row r="23" spans="1:9" x14ac:dyDescent="0.45">
      <c r="A23" s="1" t="s">
        <v>135</v>
      </c>
      <c r="B23" s="2">
        <f t="shared" si="0"/>
        <v>3985.9693877551017</v>
      </c>
      <c r="C23" s="1">
        <v>5000</v>
      </c>
      <c r="D23" s="1">
        <v>5000</v>
      </c>
      <c r="F23" s="15">
        <f t="shared" si="1"/>
        <v>0</v>
      </c>
      <c r="H23" s="1">
        <f t="shared" si="2"/>
        <v>0.79719387755102034</v>
      </c>
      <c r="I23" s="1">
        <v>2</v>
      </c>
    </row>
    <row r="24" spans="1:9" x14ac:dyDescent="0.45">
      <c r="A24" s="1" t="s">
        <v>136</v>
      </c>
      <c r="B24" s="2">
        <f t="shared" si="0"/>
        <v>6406.0222303206974</v>
      </c>
      <c r="C24" s="1">
        <v>9000</v>
      </c>
      <c r="D24" s="1">
        <v>1000</v>
      </c>
      <c r="F24" s="15">
        <f t="shared" si="1"/>
        <v>8000</v>
      </c>
      <c r="H24" s="1">
        <f t="shared" si="2"/>
        <v>0.71178024781341087</v>
      </c>
      <c r="I24" s="1">
        <v>3</v>
      </c>
    </row>
    <row r="25" spans="1:9" x14ac:dyDescent="0.45">
      <c r="A25" s="2" t="s">
        <v>16</v>
      </c>
      <c r="B25" s="4">
        <f>SUM(B20:B24)</f>
        <v>1784.8487609329422</v>
      </c>
      <c r="C25" s="4">
        <f>SUM(C21:C24)</f>
        <v>5500</v>
      </c>
      <c r="D25" s="4">
        <f>SUM(D21:D24)</f>
        <v>3500</v>
      </c>
      <c r="E25" s="1" t="s">
        <v>229</v>
      </c>
      <c r="F25" s="3">
        <f>SUM(F21:F24)</f>
        <v>2000</v>
      </c>
      <c r="G25" s="16"/>
    </row>
    <row r="26" spans="1:9" x14ac:dyDescent="0.45">
      <c r="A26" s="3" t="s">
        <v>137</v>
      </c>
      <c r="B26" s="116">
        <v>0.12</v>
      </c>
      <c r="C26" s="39">
        <f>NPV(B26,C21:C24)</f>
        <v>1593.614965118699</v>
      </c>
      <c r="D26" s="39"/>
    </row>
    <row r="27" spans="1:9" x14ac:dyDescent="0.45">
      <c r="A27" s="4" t="s">
        <v>17</v>
      </c>
      <c r="B27" s="4"/>
      <c r="C27" s="119">
        <f>IRR(C21:C24)</f>
        <v>0.20071293465517637</v>
      </c>
      <c r="D27" s="119">
        <f>IRR(D21:D24)</f>
        <v>0.23295812014853512</v>
      </c>
      <c r="E27" s="1" t="s">
        <v>230</v>
      </c>
      <c r="F27" s="120">
        <f>IRR(F21:F24)</f>
        <v>0.15470053837894127</v>
      </c>
    </row>
    <row r="28" spans="1:9" x14ac:dyDescent="0.45">
      <c r="A28" s="3" t="s">
        <v>18</v>
      </c>
      <c r="B28" s="3"/>
    </row>
    <row r="29" spans="1:9" x14ac:dyDescent="0.45">
      <c r="C29" s="118">
        <f>C21+NPV(B26,C22:C24)</f>
        <v>1784.8487609329422</v>
      </c>
      <c r="D29" s="117">
        <f>D21+NPV(B26,D22:D24)</f>
        <v>1447.7496355685125</v>
      </c>
      <c r="E29" s="1" t="s">
        <v>229</v>
      </c>
    </row>
    <row r="30" spans="1:9" x14ac:dyDescent="0.45">
      <c r="A30" s="1" t="s">
        <v>280</v>
      </c>
      <c r="B30" s="1">
        <v>0.16</v>
      </c>
      <c r="C30" s="121">
        <f>C21+NPV(B30,C22:C24)</f>
        <v>843.80253392923078</v>
      </c>
      <c r="D30" s="122">
        <f>D21+NPV(B30,D22:D24)</f>
        <v>890.9549387018742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I33"/>
  <sheetViews>
    <sheetView workbookViewId="0">
      <selection activeCell="A15" sqref="A15"/>
    </sheetView>
  </sheetViews>
  <sheetFormatPr defaultColWidth="9.1796875" defaultRowHeight="18.5" x14ac:dyDescent="0.45"/>
  <cols>
    <col min="1" max="1" width="35.7265625" style="1" customWidth="1"/>
    <col min="2" max="2" width="13.7265625" style="1" customWidth="1"/>
    <col min="3" max="3" width="9.1796875" style="1"/>
    <col min="4" max="4" width="14.6328125" style="1" customWidth="1"/>
    <col min="5" max="5" width="10.54296875" style="1" bestFit="1" customWidth="1"/>
    <col min="6" max="6" width="10" style="1" customWidth="1"/>
    <col min="7" max="7" width="12.26953125" style="1" customWidth="1"/>
    <col min="8" max="8" width="11.81640625" style="1" customWidth="1"/>
    <col min="9" max="16384" width="9.1796875" style="1"/>
  </cols>
  <sheetData>
    <row r="1" spans="1:9" x14ac:dyDescent="0.45">
      <c r="B1" s="18" t="s">
        <v>1</v>
      </c>
      <c r="D1" s="3" t="s">
        <v>2</v>
      </c>
      <c r="E1" s="1" t="s">
        <v>159</v>
      </c>
      <c r="F1" s="1" t="s">
        <v>160</v>
      </c>
      <c r="G1" s="1" t="s">
        <v>277</v>
      </c>
      <c r="H1" s="18" t="s">
        <v>114</v>
      </c>
    </row>
    <row r="2" spans="1:9" x14ac:dyDescent="0.45">
      <c r="A2" s="21" t="s">
        <v>104</v>
      </c>
      <c r="B2" s="22">
        <v>-15000</v>
      </c>
      <c r="C2" s="23"/>
      <c r="D2" s="23">
        <v>-30000</v>
      </c>
      <c r="E2" s="1">
        <f>B2*G2</f>
        <v>-15000</v>
      </c>
      <c r="F2" s="1">
        <f>D2*G2</f>
        <v>-30000</v>
      </c>
      <c r="G2" s="109">
        <f>(1+$G$15)^(-I2)</f>
        <v>1</v>
      </c>
      <c r="H2" s="17">
        <f>D2-B2</f>
        <v>-15000</v>
      </c>
      <c r="I2" s="1">
        <v>0</v>
      </c>
    </row>
    <row r="3" spans="1:9" x14ac:dyDescent="0.45">
      <c r="A3" s="20" t="s">
        <v>105</v>
      </c>
      <c r="B3" s="1">
        <v>-2000</v>
      </c>
      <c r="C3" s="23"/>
      <c r="D3" s="1">
        <v>-4000</v>
      </c>
      <c r="E3" s="1">
        <f>B3*G3</f>
        <v>-1818.181818181818</v>
      </c>
      <c r="F3" s="1">
        <f>D3*G3</f>
        <v>-3636.363636363636</v>
      </c>
      <c r="G3" s="109">
        <f t="shared" ref="G3:G10" si="0">(1+$G$15)^(-I3)</f>
        <v>0.90909090909090906</v>
      </c>
      <c r="H3" s="17">
        <f t="shared" ref="H3:H11" si="1">D3-B3</f>
        <v>-2000</v>
      </c>
      <c r="I3" s="1">
        <v>1</v>
      </c>
    </row>
    <row r="4" spans="1:9" x14ac:dyDescent="0.45">
      <c r="A4" s="20" t="s">
        <v>106</v>
      </c>
      <c r="B4" s="1">
        <v>3000</v>
      </c>
      <c r="C4" s="23"/>
      <c r="D4" s="1">
        <v>-2000</v>
      </c>
      <c r="E4" s="1">
        <f t="shared" ref="E4:E11" si="2">B4*G4</f>
        <v>2479.3388429752063</v>
      </c>
      <c r="F4" s="1">
        <f t="shared" ref="F4:F11" si="3">D4*G4</f>
        <v>-1652.8925619834708</v>
      </c>
      <c r="G4" s="109">
        <f t="shared" si="0"/>
        <v>0.82644628099173545</v>
      </c>
      <c r="H4" s="17">
        <f t="shared" si="1"/>
        <v>-5000</v>
      </c>
      <c r="I4" s="1">
        <v>2</v>
      </c>
    </row>
    <row r="5" spans="1:9" x14ac:dyDescent="0.45">
      <c r="A5" s="20" t="s">
        <v>107</v>
      </c>
      <c r="B5" s="1">
        <v>5000</v>
      </c>
      <c r="C5" s="23"/>
      <c r="D5" s="1">
        <v>6000</v>
      </c>
      <c r="E5" s="1">
        <f t="shared" si="2"/>
        <v>3756.5740045078878</v>
      </c>
      <c r="F5" s="1">
        <f t="shared" si="3"/>
        <v>4507.888805409465</v>
      </c>
      <c r="G5" s="109">
        <f t="shared" si="0"/>
        <v>0.75131480090157754</v>
      </c>
      <c r="H5" s="17">
        <f t="shared" si="1"/>
        <v>1000</v>
      </c>
      <c r="I5" s="1">
        <v>3</v>
      </c>
    </row>
    <row r="6" spans="1:9" x14ac:dyDescent="0.45">
      <c r="A6" s="20" t="s">
        <v>108</v>
      </c>
      <c r="B6" s="1">
        <v>6000</v>
      </c>
      <c r="C6" s="23"/>
      <c r="D6" s="1">
        <v>8000</v>
      </c>
      <c r="E6" s="1">
        <f t="shared" si="2"/>
        <v>4098.0807321904231</v>
      </c>
      <c r="F6" s="1">
        <f t="shared" si="3"/>
        <v>5464.1076429205641</v>
      </c>
      <c r="G6" s="109">
        <f t="shared" si="0"/>
        <v>0.68301345536507052</v>
      </c>
      <c r="H6" s="17">
        <f t="shared" si="1"/>
        <v>2000</v>
      </c>
      <c r="I6" s="1">
        <v>4</v>
      </c>
    </row>
    <row r="7" spans="1:9" x14ac:dyDescent="0.45">
      <c r="A7" s="20" t="s">
        <v>109</v>
      </c>
      <c r="B7" s="1">
        <v>6000</v>
      </c>
      <c r="C7" s="23"/>
      <c r="D7" s="1">
        <v>9000</v>
      </c>
      <c r="E7" s="1">
        <f t="shared" si="2"/>
        <v>3725.5279383549296</v>
      </c>
      <c r="F7" s="1">
        <f t="shared" si="3"/>
        <v>5588.2919075323944</v>
      </c>
      <c r="G7" s="109">
        <f t="shared" si="0"/>
        <v>0.62092132305915493</v>
      </c>
      <c r="H7" s="17">
        <f t="shared" si="1"/>
        <v>3000</v>
      </c>
      <c r="I7" s="1">
        <v>5</v>
      </c>
    </row>
    <row r="8" spans="1:9" x14ac:dyDescent="0.45">
      <c r="A8" s="20" t="s">
        <v>110</v>
      </c>
      <c r="B8" s="1">
        <v>5000</v>
      </c>
      <c r="C8" s="23"/>
      <c r="D8" s="1">
        <v>12000</v>
      </c>
      <c r="E8" s="1">
        <f t="shared" si="2"/>
        <v>2822.3696502688863</v>
      </c>
      <c r="F8" s="1">
        <f t="shared" si="3"/>
        <v>6773.6871606453269</v>
      </c>
      <c r="G8" s="109">
        <f t="shared" si="0"/>
        <v>0.56447393005377722</v>
      </c>
      <c r="H8" s="17">
        <f t="shared" si="1"/>
        <v>7000</v>
      </c>
      <c r="I8" s="1">
        <v>6</v>
      </c>
    </row>
    <row r="9" spans="1:9" x14ac:dyDescent="0.45">
      <c r="A9" s="20" t="s">
        <v>111</v>
      </c>
      <c r="B9" s="1">
        <v>5000</v>
      </c>
      <c r="C9" s="23"/>
      <c r="D9" s="1">
        <v>10000</v>
      </c>
      <c r="E9" s="1">
        <f t="shared" si="2"/>
        <v>2565.7905911535322</v>
      </c>
      <c r="F9" s="1">
        <f t="shared" si="3"/>
        <v>5131.5811823070644</v>
      </c>
      <c r="G9" s="109">
        <f t="shared" si="0"/>
        <v>0.51315811823070645</v>
      </c>
      <c r="H9" s="17">
        <f t="shared" si="1"/>
        <v>5000</v>
      </c>
      <c r="I9" s="1">
        <v>7</v>
      </c>
    </row>
    <row r="10" spans="1:9" x14ac:dyDescent="0.45">
      <c r="A10" s="20" t="s">
        <v>112</v>
      </c>
      <c r="B10" s="1">
        <v>0</v>
      </c>
      <c r="C10" s="23"/>
      <c r="D10" s="1">
        <v>11000</v>
      </c>
      <c r="E10" s="1">
        <f t="shared" si="2"/>
        <v>0</v>
      </c>
      <c r="F10" s="1">
        <f t="shared" si="3"/>
        <v>5131.5811823070644</v>
      </c>
      <c r="G10" s="109">
        <f t="shared" si="0"/>
        <v>0.46650738020973315</v>
      </c>
      <c r="H10" s="17">
        <f t="shared" si="1"/>
        <v>11000</v>
      </c>
      <c r="I10" s="1">
        <v>8</v>
      </c>
    </row>
    <row r="11" spans="1:9" x14ac:dyDescent="0.45">
      <c r="A11" s="20" t="s">
        <v>113</v>
      </c>
      <c r="B11" s="1">
        <v>0</v>
      </c>
      <c r="C11" s="23"/>
      <c r="D11" s="1">
        <v>10000</v>
      </c>
      <c r="E11" s="1">
        <f t="shared" si="2"/>
        <v>0</v>
      </c>
      <c r="F11" s="1">
        <f t="shared" si="3"/>
        <v>4240.976183724847</v>
      </c>
      <c r="G11" s="109">
        <f>(1+$G$15)^(-I11)</f>
        <v>0.42409761837248466</v>
      </c>
      <c r="H11" s="17">
        <f t="shared" si="1"/>
        <v>10000</v>
      </c>
      <c r="I11" s="1">
        <v>9</v>
      </c>
    </row>
    <row r="12" spans="1:9" x14ac:dyDescent="0.45">
      <c r="A12" s="42" t="s">
        <v>16</v>
      </c>
      <c r="B12" s="42">
        <f>SUM(B2:B11)</f>
        <v>13000</v>
      </c>
      <c r="C12" s="112" t="s">
        <v>230</v>
      </c>
      <c r="D12" s="52">
        <f>SUM(D2:D11)</f>
        <v>30000</v>
      </c>
      <c r="E12" s="93">
        <f>SUM(E2:E11)</f>
        <v>2629.499941269049</v>
      </c>
      <c r="F12" s="51">
        <f>SUM(F2:F11)</f>
        <v>1548.8578664996248</v>
      </c>
      <c r="H12" s="16">
        <f>SUM(H2:H11)</f>
        <v>17000</v>
      </c>
    </row>
    <row r="13" spans="1:9" x14ac:dyDescent="0.45">
      <c r="A13" s="1" t="s">
        <v>161</v>
      </c>
      <c r="B13" s="53"/>
      <c r="C13" s="113"/>
      <c r="D13" s="41"/>
      <c r="E13" s="24"/>
      <c r="F13" s="24"/>
      <c r="G13" s="24"/>
      <c r="H13" s="41"/>
    </row>
    <row r="14" spans="1:9" x14ac:dyDescent="0.45">
      <c r="A14" s="66" t="s">
        <v>17</v>
      </c>
      <c r="B14" s="111">
        <f>IRR(B2:B11)</f>
        <v>0.13796648750834728</v>
      </c>
      <c r="C14" s="114" t="s">
        <v>229</v>
      </c>
      <c r="D14" s="90">
        <f>IRR(D2:D11)</f>
        <v>0.10826452096756878</v>
      </c>
      <c r="H14" s="115">
        <f>IRR(H2:H11)</f>
        <v>9.1031885301589899E-2</v>
      </c>
    </row>
    <row r="15" spans="1:9" x14ac:dyDescent="0.45">
      <c r="A15" s="54" t="s">
        <v>158</v>
      </c>
      <c r="B15" s="92" t="s">
        <v>278</v>
      </c>
      <c r="D15" s="43"/>
      <c r="G15" s="1">
        <v>0.1</v>
      </c>
      <c r="H15" s="91"/>
      <c r="I15" s="80" t="s">
        <v>210</v>
      </c>
    </row>
    <row r="16" spans="1:9" x14ac:dyDescent="0.45">
      <c r="A16" s="1" t="s">
        <v>260</v>
      </c>
      <c r="B16" s="69">
        <f>1000*(1+0.1)^(-1)</f>
        <v>909.09090909090901</v>
      </c>
    </row>
    <row r="17" spans="1:4" x14ac:dyDescent="0.45">
      <c r="A17" s="1" t="s">
        <v>264</v>
      </c>
      <c r="B17" s="66">
        <v>1000</v>
      </c>
    </row>
    <row r="18" spans="1:4" x14ac:dyDescent="0.45">
      <c r="A18" s="1" t="s">
        <v>261</v>
      </c>
      <c r="B18" s="66">
        <f>B17*5</f>
        <v>5000</v>
      </c>
    </row>
    <row r="19" spans="1:4" x14ac:dyDescent="0.45">
      <c r="A19" s="1" t="s">
        <v>262</v>
      </c>
      <c r="B19" s="66">
        <v>3</v>
      </c>
    </row>
    <row r="20" spans="1:4" x14ac:dyDescent="0.45">
      <c r="A20" s="1" t="s">
        <v>263</v>
      </c>
      <c r="B20" s="66">
        <f>B18*B19</f>
        <v>15000</v>
      </c>
    </row>
    <row r="21" spans="1:4" x14ac:dyDescent="0.45">
      <c r="A21" s="1" t="s">
        <v>265</v>
      </c>
    </row>
    <row r="22" spans="1:4" x14ac:dyDescent="0.45">
      <c r="A22" s="1" t="s">
        <v>266</v>
      </c>
    </row>
    <row r="23" spans="1:4" x14ac:dyDescent="0.45">
      <c r="A23" s="1" t="s">
        <v>260</v>
      </c>
      <c r="B23" s="69">
        <f>B17*(1+0.1)^(-1)</f>
        <v>909.09090909090901</v>
      </c>
    </row>
    <row r="24" spans="1:4" x14ac:dyDescent="0.45">
      <c r="A24" s="1" t="s">
        <v>261</v>
      </c>
      <c r="B24" s="110">
        <f>B23*5</f>
        <v>4545.454545454545</v>
      </c>
    </row>
    <row r="25" spans="1:4" x14ac:dyDescent="0.45">
      <c r="A25" s="1" t="s">
        <v>263</v>
      </c>
      <c r="B25" s="45">
        <f>B24*B19</f>
        <v>13636.363636363636</v>
      </c>
    </row>
    <row r="27" spans="1:4" x14ac:dyDescent="0.45">
      <c r="A27" s="1" t="s">
        <v>267</v>
      </c>
      <c r="B27" s="1">
        <v>1000</v>
      </c>
    </row>
    <row r="28" spans="1:4" x14ac:dyDescent="0.45">
      <c r="A28" s="1" t="s">
        <v>268</v>
      </c>
      <c r="B28" s="24">
        <v>0.1</v>
      </c>
    </row>
    <row r="29" spans="1:4" x14ac:dyDescent="0.45">
      <c r="A29" s="1" t="s">
        <v>270</v>
      </c>
      <c r="B29" s="1">
        <v>1000</v>
      </c>
      <c r="C29" s="1">
        <f>B27+B28*B27</f>
        <v>1100</v>
      </c>
      <c r="D29" s="1">
        <f>C29+B28*C29</f>
        <v>1210</v>
      </c>
    </row>
    <row r="30" spans="1:4" x14ac:dyDescent="0.45">
      <c r="B30" s="1" t="s">
        <v>269</v>
      </c>
      <c r="C30" s="1" t="s">
        <v>271</v>
      </c>
      <c r="D30" s="1" t="s">
        <v>272</v>
      </c>
    </row>
    <row r="31" spans="1:4" x14ac:dyDescent="0.45">
      <c r="A31" s="1" t="s">
        <v>273</v>
      </c>
    </row>
    <row r="32" spans="1:4" x14ac:dyDescent="0.45">
      <c r="A32" s="1" t="s">
        <v>274</v>
      </c>
      <c r="B32" s="1" t="s">
        <v>275</v>
      </c>
    </row>
    <row r="33" spans="2:2" x14ac:dyDescent="0.45">
      <c r="B33" s="1" t="s">
        <v>276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CEF13-C807-4083-A8C6-96655D4EB27F}">
  <dimension ref="A1:K13"/>
  <sheetViews>
    <sheetView workbookViewId="0">
      <selection activeCell="J12" sqref="J12"/>
    </sheetView>
  </sheetViews>
  <sheetFormatPr defaultColWidth="11.90625" defaultRowHeight="18.5" x14ac:dyDescent="0.45"/>
  <cols>
    <col min="1" max="16384" width="11.90625" style="69"/>
  </cols>
  <sheetData>
    <row r="1" spans="1:11" s="100" customFormat="1" x14ac:dyDescent="0.45">
      <c r="B1" s="100" t="s">
        <v>244</v>
      </c>
      <c r="D1" s="100" t="s">
        <v>245</v>
      </c>
      <c r="F1" s="100" t="s">
        <v>246</v>
      </c>
      <c r="G1" s="100" t="s">
        <v>247</v>
      </c>
    </row>
    <row r="2" spans="1:11" s="100" customFormat="1" x14ac:dyDescent="0.45">
      <c r="B2" s="100">
        <v>-25000</v>
      </c>
      <c r="D2" s="100">
        <v>-30000</v>
      </c>
      <c r="E2" s="100" t="s">
        <v>248</v>
      </c>
      <c r="F2" s="101">
        <f>D2-B2</f>
        <v>-5000</v>
      </c>
    </row>
    <row r="3" spans="1:11" x14ac:dyDescent="0.45">
      <c r="B3" s="28">
        <f>6000+1000</f>
        <v>7000</v>
      </c>
      <c r="C3" s="28"/>
      <c r="D3" s="28">
        <v>6000</v>
      </c>
      <c r="E3" s="100" t="s">
        <v>249</v>
      </c>
      <c r="F3" s="101">
        <f t="shared" ref="F3:F9" si="0">D3-B3</f>
        <v>-1000</v>
      </c>
      <c r="G3" s="100"/>
    </row>
    <row r="4" spans="1:11" x14ac:dyDescent="0.45">
      <c r="B4" s="28">
        <v>8000</v>
      </c>
      <c r="C4" s="28"/>
      <c r="D4" s="28">
        <v>5000</v>
      </c>
      <c r="E4" s="100" t="s">
        <v>250</v>
      </c>
      <c r="F4" s="101">
        <f t="shared" si="0"/>
        <v>-3000</v>
      </c>
      <c r="G4" s="100"/>
    </row>
    <row r="5" spans="1:11" x14ac:dyDescent="0.45">
      <c r="B5" s="28">
        <v>5000</v>
      </c>
      <c r="C5" s="28"/>
      <c r="D5" s="28">
        <v>6000</v>
      </c>
      <c r="E5" s="100" t="s">
        <v>251</v>
      </c>
      <c r="F5" s="101">
        <f t="shared" si="0"/>
        <v>1000</v>
      </c>
      <c r="G5" s="100"/>
    </row>
    <row r="6" spans="1:11" x14ac:dyDescent="0.45">
      <c r="B6" s="28">
        <v>6000</v>
      </c>
      <c r="C6" s="28"/>
      <c r="D6" s="28">
        <v>7000</v>
      </c>
      <c r="E6" s="100" t="s">
        <v>252</v>
      </c>
      <c r="F6" s="101">
        <f t="shared" si="0"/>
        <v>1000</v>
      </c>
      <c r="G6" s="100"/>
    </row>
    <row r="7" spans="1:11" x14ac:dyDescent="0.45">
      <c r="B7" s="28">
        <v>7000</v>
      </c>
      <c r="C7" s="28"/>
      <c r="D7" s="28">
        <v>7200</v>
      </c>
      <c r="E7" s="100" t="s">
        <v>253</v>
      </c>
      <c r="F7" s="101">
        <f t="shared" si="0"/>
        <v>200</v>
      </c>
      <c r="G7" s="100"/>
    </row>
    <row r="8" spans="1:11" x14ac:dyDescent="0.45">
      <c r="B8" s="28">
        <v>0</v>
      </c>
      <c r="C8" s="28"/>
      <c r="D8" s="28">
        <v>5500</v>
      </c>
      <c r="E8" s="100" t="s">
        <v>254</v>
      </c>
      <c r="F8" s="101">
        <f t="shared" si="0"/>
        <v>5500</v>
      </c>
      <c r="G8" s="100"/>
    </row>
    <row r="9" spans="1:11" x14ac:dyDescent="0.45">
      <c r="B9" s="28">
        <v>0</v>
      </c>
      <c r="C9" s="28"/>
      <c r="D9" s="28">
        <v>6000</v>
      </c>
      <c r="E9" s="100" t="s">
        <v>255</v>
      </c>
      <c r="F9" s="101">
        <f t="shared" si="0"/>
        <v>6000</v>
      </c>
      <c r="G9" s="100"/>
    </row>
    <row r="10" spans="1:11" x14ac:dyDescent="0.45">
      <c r="A10" s="100" t="s">
        <v>256</v>
      </c>
      <c r="B10" s="76">
        <f>SUM(B2:B9)</f>
        <v>8000</v>
      </c>
      <c r="C10" s="123" t="s">
        <v>230</v>
      </c>
      <c r="D10" s="76">
        <f>SUM(D2:D9)</f>
        <v>12700</v>
      </c>
      <c r="E10" s="100" t="s">
        <v>257</v>
      </c>
      <c r="F10" s="103">
        <f>SUM(F2:F9)</f>
        <v>4700</v>
      </c>
      <c r="G10" s="104"/>
    </row>
    <row r="11" spans="1:11" x14ac:dyDescent="0.45">
      <c r="A11" s="102" t="s">
        <v>17</v>
      </c>
      <c r="B11" s="105">
        <f>IRR(B2:B9)</f>
        <v>0.10282776333599419</v>
      </c>
      <c r="C11" s="100" t="s">
        <v>229</v>
      </c>
      <c r="D11" s="106">
        <f>IRR(D2:D9)</f>
        <v>9.5309767147440105E-2</v>
      </c>
      <c r="F11" s="107">
        <f>IRR(F2:F9)</f>
        <v>8.3234666263385382E-2</v>
      </c>
      <c r="H11" s="124" t="s">
        <v>258</v>
      </c>
      <c r="I11" s="125"/>
      <c r="J11" s="124" t="s">
        <v>259</v>
      </c>
      <c r="K11" s="108"/>
    </row>
    <row r="12" spans="1:11" x14ac:dyDescent="0.45">
      <c r="H12" s="124" t="s">
        <v>235</v>
      </c>
      <c r="I12" s="125"/>
      <c r="J12" s="126" t="s">
        <v>239</v>
      </c>
      <c r="K12" s="108"/>
    </row>
    <row r="13" spans="1:11" x14ac:dyDescent="0.45">
      <c r="H13" s="124" t="s">
        <v>236</v>
      </c>
      <c r="I13" s="125"/>
      <c r="J13" s="124" t="s">
        <v>240</v>
      </c>
      <c r="K13" s="10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EAB77-7C7F-4CBE-BE67-2D66406E5DCD}">
  <dimension ref="F2:R15"/>
  <sheetViews>
    <sheetView workbookViewId="0">
      <selection activeCell="I15" sqref="I15"/>
    </sheetView>
  </sheetViews>
  <sheetFormatPr defaultRowHeight="14.5" x14ac:dyDescent="0.35"/>
  <cols>
    <col min="5" max="5" width="3.81640625" customWidth="1"/>
    <col min="6" max="6" width="8.7265625" customWidth="1"/>
  </cols>
  <sheetData>
    <row r="2" spans="6:18" x14ac:dyDescent="0.35">
      <c r="F2" s="95" t="s">
        <v>16</v>
      </c>
    </row>
    <row r="4" spans="6:18" x14ac:dyDescent="0.35">
      <c r="F4" t="s">
        <v>234</v>
      </c>
    </row>
    <row r="5" spans="6:18" x14ac:dyDescent="0.35">
      <c r="H5" s="96" t="s">
        <v>235</v>
      </c>
    </row>
    <row r="6" spans="6:18" x14ac:dyDescent="0.35">
      <c r="H6" s="97" t="s">
        <v>236</v>
      </c>
    </row>
    <row r="8" spans="6:18" x14ac:dyDescent="0.35">
      <c r="F8" t="s">
        <v>237</v>
      </c>
    </row>
    <row r="9" spans="6:18" x14ac:dyDescent="0.35">
      <c r="I9" s="95" t="s">
        <v>238</v>
      </c>
      <c r="K9" s="98" t="s">
        <v>239</v>
      </c>
    </row>
    <row r="10" spans="6:18" ht="15.5" x14ac:dyDescent="0.35">
      <c r="K10" s="99" t="s">
        <v>240</v>
      </c>
    </row>
    <row r="14" spans="6:18" x14ac:dyDescent="0.35">
      <c r="P14" s="98" t="s">
        <v>241</v>
      </c>
      <c r="R14" s="98"/>
    </row>
    <row r="15" spans="6:18" x14ac:dyDescent="0.35">
      <c r="K15" t="s">
        <v>242</v>
      </c>
      <c r="O15" t="s">
        <v>243</v>
      </c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F13"/>
  <sheetViews>
    <sheetView workbookViewId="0">
      <selection activeCell="C11" sqref="C11"/>
    </sheetView>
  </sheetViews>
  <sheetFormatPr defaultColWidth="9.1796875" defaultRowHeight="18.5" x14ac:dyDescent="0.45"/>
  <cols>
    <col min="1" max="1" width="44.26953125" style="1" customWidth="1"/>
    <col min="2" max="2" width="9.1796875" style="1"/>
    <col min="3" max="3" width="10.453125" style="1" customWidth="1"/>
    <col min="4" max="4" width="12.1796875" style="1" bestFit="1" customWidth="1"/>
    <col min="5" max="5" width="13.1796875" style="1" customWidth="1"/>
    <col min="6" max="16384" width="9.1796875" style="1"/>
  </cols>
  <sheetData>
    <row r="1" spans="1:6" x14ac:dyDescent="0.45">
      <c r="A1" s="15" t="s">
        <v>139</v>
      </c>
      <c r="D1" s="1" t="s">
        <v>142</v>
      </c>
      <c r="E1" s="1" t="s">
        <v>144</v>
      </c>
    </row>
    <row r="2" spans="1:6" x14ac:dyDescent="0.45">
      <c r="A2" s="15" t="s">
        <v>143</v>
      </c>
      <c r="B2" s="2">
        <v>20000</v>
      </c>
      <c r="D2" s="1">
        <f>E2*(1+0.15)^(-5)</f>
        <v>-18011.293058806841</v>
      </c>
      <c r="E2" s="54">
        <f>-20000*(1+0.15)^5+4000</f>
        <v>-36227.143749999988</v>
      </c>
      <c r="F2" s="1" t="s">
        <v>162</v>
      </c>
    </row>
    <row r="3" spans="1:6" x14ac:dyDescent="0.45">
      <c r="A3" s="1" t="s">
        <v>73</v>
      </c>
      <c r="B3" s="2" t="s">
        <v>115</v>
      </c>
    </row>
    <row r="4" spans="1:6" x14ac:dyDescent="0.45">
      <c r="A4" s="1" t="s">
        <v>116</v>
      </c>
      <c r="B4" s="2">
        <v>4000</v>
      </c>
    </row>
    <row r="5" spans="1:6" x14ac:dyDescent="0.45">
      <c r="A5" s="1" t="s">
        <v>52</v>
      </c>
      <c r="B5" s="1">
        <v>0.15</v>
      </c>
    </row>
    <row r="6" spans="1:6" x14ac:dyDescent="0.45">
      <c r="A6" s="1" t="s">
        <v>141</v>
      </c>
      <c r="C6" s="15"/>
      <c r="D6" s="50">
        <f>-B2+B4*(1+0.15)^(-5)</f>
        <v>-18011.293058806841</v>
      </c>
      <c r="F6" s="1" t="s">
        <v>212</v>
      </c>
    </row>
    <row r="7" spans="1:6" x14ac:dyDescent="0.45">
      <c r="A7" s="1" t="s">
        <v>117</v>
      </c>
      <c r="C7" s="45">
        <f>D6*B5/(1-1.15^(-5))</f>
        <v>-5373.0488393844553</v>
      </c>
      <c r="D7" s="45"/>
      <c r="F7" s="1" t="s">
        <v>211</v>
      </c>
    </row>
    <row r="8" spans="1:6" x14ac:dyDescent="0.45">
      <c r="A8" s="1" t="s">
        <v>140</v>
      </c>
      <c r="C8" s="1">
        <f>E2*B5/(1.15^5-1)</f>
        <v>-5373.0488393844553</v>
      </c>
      <c r="F8" s="1" t="s">
        <v>163</v>
      </c>
    </row>
    <row r="9" spans="1:6" x14ac:dyDescent="0.45">
      <c r="A9" s="54" t="s">
        <v>213</v>
      </c>
      <c r="C9" s="1">
        <f>D6*0.12/(1-1.12^(-5))</f>
        <v>-4996.5079793552777</v>
      </c>
      <c r="D9" s="1" t="s">
        <v>214</v>
      </c>
    </row>
    <row r="10" spans="1:6" x14ac:dyDescent="0.45">
      <c r="A10" s="17"/>
      <c r="C10" s="1">
        <f>B2+D6</f>
        <v>1988.7069411931589</v>
      </c>
      <c r="D10" s="1" t="s">
        <v>215</v>
      </c>
    </row>
    <row r="11" spans="1:6" x14ac:dyDescent="0.45">
      <c r="C11" s="1">
        <f>C10*(1.12^5)</f>
        <v>3504.7811381338761</v>
      </c>
      <c r="D11" s="1" t="s">
        <v>216</v>
      </c>
    </row>
    <row r="12" spans="1:6" x14ac:dyDescent="0.45">
      <c r="C12" s="1">
        <f>C10*1.15^5</f>
        <v>3999.9999999999986</v>
      </c>
      <c r="D12" s="1" t="s">
        <v>123</v>
      </c>
    </row>
    <row r="13" spans="1:6" x14ac:dyDescent="0.45">
      <c r="A13" s="17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K19"/>
  <sheetViews>
    <sheetView topLeftCell="A3" workbookViewId="0">
      <selection activeCell="D21" sqref="D21"/>
    </sheetView>
  </sheetViews>
  <sheetFormatPr defaultColWidth="9.1796875" defaultRowHeight="18.5" x14ac:dyDescent="0.45"/>
  <cols>
    <col min="1" max="1" width="36.453125" style="1" customWidth="1"/>
    <col min="2" max="2" width="24.453125" style="1" customWidth="1"/>
    <col min="3" max="3" width="15" style="1" bestFit="1" customWidth="1"/>
    <col min="4" max="4" width="9.1796875" style="1"/>
    <col min="5" max="5" width="11.90625" style="1" bestFit="1" customWidth="1"/>
    <col min="6" max="6" width="22.54296875" style="1" customWidth="1"/>
    <col min="7" max="7" width="16.7265625" style="1" bestFit="1" customWidth="1"/>
    <col min="8" max="8" width="12.81640625" style="1" customWidth="1"/>
    <col min="9" max="9" width="9.1796875" style="1" customWidth="1"/>
    <col min="10" max="10" width="11.1796875" style="1" customWidth="1"/>
    <col min="11" max="11" width="18" style="1" customWidth="1"/>
    <col min="12" max="16384" width="9.1796875" style="1"/>
  </cols>
  <sheetData>
    <row r="1" spans="1:11" x14ac:dyDescent="0.45">
      <c r="A1" s="25"/>
      <c r="B1" s="26"/>
      <c r="C1" s="27" t="s">
        <v>1</v>
      </c>
      <c r="D1" s="27"/>
      <c r="E1" s="27" t="s">
        <v>2</v>
      </c>
      <c r="F1" s="1" t="s">
        <v>291</v>
      </c>
      <c r="G1" s="1" t="s">
        <v>292</v>
      </c>
      <c r="H1" s="109">
        <f>(1+C9)^(-3)</f>
        <v>0.64065767354135073</v>
      </c>
    </row>
    <row r="2" spans="1:11" x14ac:dyDescent="0.45">
      <c r="A2" s="28" t="s">
        <v>19</v>
      </c>
      <c r="B2" s="26"/>
      <c r="C2" s="25">
        <v>22000</v>
      </c>
      <c r="D2" s="28"/>
      <c r="E2" s="27">
        <v>28000</v>
      </c>
      <c r="G2" s="1" t="s">
        <v>293</v>
      </c>
      <c r="H2" s="109">
        <f>(1-H1)/C9</f>
        <v>2.2458895403665577</v>
      </c>
      <c r="I2" s="28"/>
      <c r="J2" s="28"/>
      <c r="K2" s="29"/>
    </row>
    <row r="3" spans="1:11" x14ac:dyDescent="0.45">
      <c r="A3" s="28" t="s">
        <v>20</v>
      </c>
      <c r="B3" s="26"/>
      <c r="C3" s="28" t="s">
        <v>24</v>
      </c>
      <c r="D3" s="28"/>
      <c r="E3" s="28" t="s">
        <v>22</v>
      </c>
      <c r="G3" s="63" t="s">
        <v>1</v>
      </c>
      <c r="H3" s="63" t="s">
        <v>2</v>
      </c>
      <c r="J3" s="64" t="s">
        <v>114</v>
      </c>
    </row>
    <row r="4" spans="1:11" x14ac:dyDescent="0.45">
      <c r="A4" s="28" t="s">
        <v>26</v>
      </c>
      <c r="B4" s="26"/>
      <c r="C4" s="130">
        <v>3000</v>
      </c>
      <c r="D4" s="28"/>
      <c r="E4" s="59">
        <v>4000</v>
      </c>
      <c r="G4" s="1">
        <f>-C2</f>
        <v>-22000</v>
      </c>
      <c r="H4" s="1">
        <f>-E2</f>
        <v>-28000</v>
      </c>
      <c r="J4" s="1">
        <f>H4-G4</f>
        <v>-6000</v>
      </c>
    </row>
    <row r="5" spans="1:11" x14ac:dyDescent="0.45">
      <c r="A5" s="129" t="s">
        <v>45</v>
      </c>
      <c r="B5" s="26"/>
      <c r="C5" s="28">
        <v>18000</v>
      </c>
      <c r="D5" s="28"/>
      <c r="E5" s="28">
        <v>22000</v>
      </c>
      <c r="G5" s="1">
        <f>C5-C6</f>
        <v>13000</v>
      </c>
      <c r="H5" s="1">
        <f>$E$5-$E$6</f>
        <v>15000</v>
      </c>
      <c r="J5" s="1">
        <f t="shared" ref="J5:J7" si="0">H5-G5</f>
        <v>2000</v>
      </c>
    </row>
    <row r="6" spans="1:11" x14ac:dyDescent="0.45">
      <c r="A6" s="130" t="s">
        <v>27</v>
      </c>
      <c r="B6" s="26"/>
      <c r="C6" s="28">
        <v>5000</v>
      </c>
      <c r="D6" s="28"/>
      <c r="E6" s="28">
        <v>7000</v>
      </c>
      <c r="G6" s="1">
        <f>C5-C6</f>
        <v>13000</v>
      </c>
      <c r="H6" s="1">
        <f>$E$5-$E$6</f>
        <v>15000</v>
      </c>
      <c r="I6" s="47"/>
      <c r="J6" s="1">
        <f t="shared" si="0"/>
        <v>2000</v>
      </c>
      <c r="K6" s="47"/>
    </row>
    <row r="7" spans="1:11" x14ac:dyDescent="0.45">
      <c r="A7" s="28" t="s">
        <v>28</v>
      </c>
      <c r="B7" s="26"/>
      <c r="C7" s="58" t="s">
        <v>21</v>
      </c>
      <c r="D7" s="58"/>
      <c r="E7" s="58" t="s">
        <v>21</v>
      </c>
      <c r="G7" s="1">
        <f>C5-C6+C8</f>
        <v>21000</v>
      </c>
      <c r="H7" s="1">
        <f>$E$5-$E$6+E8</f>
        <v>29000</v>
      </c>
      <c r="I7" s="44"/>
      <c r="J7" s="1">
        <f t="shared" si="0"/>
        <v>8000</v>
      </c>
    </row>
    <row r="8" spans="1:11" x14ac:dyDescent="0.45">
      <c r="A8" s="28" t="s">
        <v>34</v>
      </c>
      <c r="B8" s="26"/>
      <c r="C8" s="59">
        <v>8000</v>
      </c>
      <c r="D8" s="59"/>
      <c r="E8" s="59">
        <v>14000</v>
      </c>
      <c r="G8" s="62">
        <f>SUM(G4:G7)</f>
        <v>25000</v>
      </c>
      <c r="H8" s="62">
        <f>SUM(H4:H7)</f>
        <v>31000</v>
      </c>
      <c r="I8" s="1" t="s">
        <v>294</v>
      </c>
      <c r="J8" s="62">
        <f>SUM(J4:J7)</f>
        <v>6000</v>
      </c>
    </row>
    <row r="9" spans="1:11" x14ac:dyDescent="0.45">
      <c r="A9" s="25" t="s">
        <v>35</v>
      </c>
      <c r="B9" s="26"/>
      <c r="C9" s="25">
        <v>0.16</v>
      </c>
      <c r="D9" s="28"/>
      <c r="E9" s="28"/>
      <c r="G9" s="131">
        <f>IRR(G4:G7)</f>
        <v>0.45127876817104595</v>
      </c>
      <c r="H9" s="131">
        <f>IRR(H4:H7)</f>
        <v>0.42333497190271352</v>
      </c>
      <c r="I9" s="1" t="s">
        <v>295</v>
      </c>
      <c r="J9" s="131">
        <f>IRR(J4:J7)</f>
        <v>0.33333333333333326</v>
      </c>
    </row>
    <row r="10" spans="1:11" x14ac:dyDescent="0.45">
      <c r="A10" s="28"/>
      <c r="B10" s="26"/>
      <c r="C10" s="28"/>
      <c r="D10" s="28"/>
      <c r="E10" s="28"/>
    </row>
    <row r="11" spans="1:11" x14ac:dyDescent="0.45">
      <c r="A11" s="60" t="s">
        <v>149</v>
      </c>
      <c r="B11" s="1" t="s">
        <v>290</v>
      </c>
      <c r="C11" s="1">
        <f>C5*H2</f>
        <v>40426.011726598037</v>
      </c>
      <c r="E11" s="1">
        <f>E5*H2</f>
        <v>49409.569888064274</v>
      </c>
      <c r="F11" s="1" t="s">
        <v>164</v>
      </c>
      <c r="G11" s="65" t="s">
        <v>296</v>
      </c>
      <c r="H11" s="132" t="s">
        <v>235</v>
      </c>
    </row>
    <row r="12" spans="1:11" x14ac:dyDescent="0.45">
      <c r="B12" s="1" t="s">
        <v>165</v>
      </c>
      <c r="C12" s="57">
        <f>C8*H1</f>
        <v>5125.2613883308059</v>
      </c>
      <c r="D12" s="57"/>
      <c r="E12" s="57">
        <f>E8*H1</f>
        <v>8969.2074295789098</v>
      </c>
      <c r="F12" s="1" t="s">
        <v>166</v>
      </c>
      <c r="G12" s="1" t="s">
        <v>297</v>
      </c>
      <c r="H12" s="64" t="s">
        <v>239</v>
      </c>
    </row>
    <row r="13" spans="1:11" x14ac:dyDescent="0.45">
      <c r="A13" s="1" t="s">
        <v>148</v>
      </c>
      <c r="C13" s="61">
        <f>SUM(C11:C12)</f>
        <v>45551.273114928845</v>
      </c>
      <c r="D13" s="61"/>
      <c r="E13" s="61">
        <f>SUM(E11:E12)</f>
        <v>58378.77731764318</v>
      </c>
      <c r="J13" s="44"/>
    </row>
    <row r="14" spans="1:11" x14ac:dyDescent="0.45">
      <c r="A14" s="1" t="s">
        <v>150</v>
      </c>
      <c r="B14" s="1">
        <v>22000</v>
      </c>
      <c r="C14" s="1">
        <v>22000</v>
      </c>
      <c r="D14" s="57"/>
      <c r="E14" s="57">
        <f>F14</f>
        <v>28000</v>
      </c>
      <c r="F14" s="1">
        <v>28000</v>
      </c>
    </row>
    <row r="15" spans="1:11" x14ac:dyDescent="0.45">
      <c r="B15" s="1" t="s">
        <v>169</v>
      </c>
      <c r="C15" s="1">
        <f>C6*H2</f>
        <v>11229.447701832789</v>
      </c>
      <c r="E15" s="1">
        <f>E6*H2</f>
        <v>15721.226782565904</v>
      </c>
      <c r="F15" s="1" t="s">
        <v>170</v>
      </c>
    </row>
    <row r="16" spans="1:11" x14ac:dyDescent="0.45">
      <c r="A16" s="1" t="s">
        <v>171</v>
      </c>
      <c r="C16" s="50">
        <f>SUM(C14:C15)</f>
        <v>33229.447701832789</v>
      </c>
      <c r="D16" s="50"/>
      <c r="E16" s="50">
        <f>SUM(E14:E15)</f>
        <v>43721.226782565907</v>
      </c>
    </row>
    <row r="17" spans="1:5" x14ac:dyDescent="0.45">
      <c r="C17" s="17"/>
      <c r="D17" s="17"/>
      <c r="E17" s="17"/>
    </row>
    <row r="18" spans="1:5" x14ac:dyDescent="0.45">
      <c r="A18" s="1" t="s">
        <v>151</v>
      </c>
      <c r="C18" s="16">
        <f>C13-C16</f>
        <v>12321.825413096056</v>
      </c>
      <c r="D18" s="80" t="s">
        <v>230</v>
      </c>
      <c r="E18" s="16">
        <f>E13-E16</f>
        <v>14657.550535077273</v>
      </c>
    </row>
    <row r="19" spans="1:5" x14ac:dyDescent="0.45">
      <c r="A19" s="1" t="s">
        <v>298</v>
      </c>
      <c r="C19" s="133">
        <f>G4+NPV(0.34,G5:G7)</f>
        <v>3669.2146307890216</v>
      </c>
      <c r="D19" s="66" t="s">
        <v>229</v>
      </c>
      <c r="E19" s="117">
        <f>H4+NPV(0.34,H5:H7)</f>
        <v>3600.4628228871225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I20"/>
  <sheetViews>
    <sheetView workbookViewId="0">
      <selection activeCell="H11" sqref="H11"/>
    </sheetView>
  </sheetViews>
  <sheetFormatPr defaultColWidth="9.1796875" defaultRowHeight="18.5" x14ac:dyDescent="0.45"/>
  <cols>
    <col min="1" max="1" width="39.81640625" style="1" customWidth="1"/>
    <col min="2" max="2" width="22" style="1" customWidth="1"/>
    <col min="3" max="3" width="12" style="1" customWidth="1"/>
    <col min="4" max="4" width="21.81640625" style="1" customWidth="1"/>
    <col min="5" max="5" width="11.26953125" style="1" customWidth="1"/>
    <col min="6" max="6" width="9.1796875" style="1"/>
    <col min="7" max="7" width="13.81640625" style="1" customWidth="1"/>
    <col min="8" max="8" width="13.453125" style="1" customWidth="1"/>
    <col min="9" max="9" width="23.7265625" style="1" customWidth="1"/>
    <col min="10" max="16384" width="9.1796875" style="1"/>
  </cols>
  <sheetData>
    <row r="1" spans="1:9" x14ac:dyDescent="0.45">
      <c r="A1" s="25"/>
      <c r="B1" s="26"/>
      <c r="C1" s="27" t="s">
        <v>1</v>
      </c>
      <c r="D1" s="27"/>
      <c r="E1" s="27" t="s">
        <v>2</v>
      </c>
      <c r="G1" s="1" t="s">
        <v>152</v>
      </c>
      <c r="H1" s="1" t="s">
        <v>153</v>
      </c>
      <c r="I1" s="1" t="s">
        <v>154</v>
      </c>
    </row>
    <row r="2" spans="1:9" x14ac:dyDescent="0.45">
      <c r="A2" s="28" t="s">
        <v>19</v>
      </c>
      <c r="B2" s="26"/>
      <c r="C2" s="28">
        <v>25000</v>
      </c>
      <c r="D2" s="28"/>
      <c r="E2" s="29">
        <v>30000</v>
      </c>
      <c r="G2" s="1">
        <f>-C2</f>
        <v>-25000</v>
      </c>
      <c r="H2" s="1">
        <f>-E2</f>
        <v>-30000</v>
      </c>
      <c r="I2" s="69"/>
    </row>
    <row r="3" spans="1:9" x14ac:dyDescent="0.45">
      <c r="A3" s="28" t="s">
        <v>20</v>
      </c>
      <c r="B3" s="26"/>
      <c r="C3" s="28" t="s">
        <v>22</v>
      </c>
      <c r="D3" s="28"/>
      <c r="E3" s="28" t="s">
        <v>37</v>
      </c>
      <c r="G3" s="1">
        <f>$C$5-$C$6</f>
        <v>10000</v>
      </c>
      <c r="H3" s="1">
        <f>$E$5-$E$6</f>
        <v>12000</v>
      </c>
      <c r="I3" s="69"/>
    </row>
    <row r="4" spans="1:9" x14ac:dyDescent="0.45">
      <c r="A4" s="28" t="s">
        <v>26</v>
      </c>
      <c r="B4" s="26"/>
      <c r="C4" s="134">
        <v>4000</v>
      </c>
      <c r="D4" s="134"/>
      <c r="E4" s="134">
        <v>5000</v>
      </c>
      <c r="G4" s="1">
        <f>$C$5-$C$6</f>
        <v>10000</v>
      </c>
      <c r="H4" s="1">
        <f>$E$5-$E$6</f>
        <v>12000</v>
      </c>
      <c r="I4" s="69"/>
    </row>
    <row r="5" spans="1:9" x14ac:dyDescent="0.45">
      <c r="A5" s="28" t="s">
        <v>45</v>
      </c>
      <c r="B5" s="26"/>
      <c r="C5" s="28">
        <v>15000</v>
      </c>
      <c r="D5" s="28"/>
      <c r="E5" s="28">
        <v>18000</v>
      </c>
      <c r="G5" s="1">
        <f>$C$5-$C$6</f>
        <v>10000</v>
      </c>
      <c r="H5" s="1">
        <f>$E$5-$E$6</f>
        <v>12000</v>
      </c>
      <c r="I5" s="69"/>
    </row>
    <row r="6" spans="1:9" x14ac:dyDescent="0.45">
      <c r="A6" s="28" t="s">
        <v>27</v>
      </c>
      <c r="B6" s="26"/>
      <c r="C6" s="28">
        <v>5000</v>
      </c>
      <c r="D6" s="28"/>
      <c r="E6" s="28">
        <v>6000</v>
      </c>
      <c r="G6" s="1">
        <f>$C$5-$C$6+C8</f>
        <v>18000</v>
      </c>
      <c r="H6" s="1">
        <f>$E$5-$E$6+E8</f>
        <v>26000</v>
      </c>
      <c r="I6" s="69"/>
    </row>
    <row r="7" spans="1:9" x14ac:dyDescent="0.45">
      <c r="A7" s="28" t="s">
        <v>28</v>
      </c>
      <c r="B7" s="26"/>
      <c r="C7" s="28" t="s">
        <v>24</v>
      </c>
      <c r="D7" s="28"/>
      <c r="E7" s="28" t="s">
        <v>24</v>
      </c>
      <c r="F7" s="1" t="s">
        <v>294</v>
      </c>
      <c r="G7" s="67">
        <f>SUM(G2:G6)</f>
        <v>23000</v>
      </c>
      <c r="H7" s="67">
        <f>SUM(H2:H6)</f>
        <v>32000</v>
      </c>
      <c r="I7" s="70"/>
    </row>
    <row r="8" spans="1:9" x14ac:dyDescent="0.45">
      <c r="A8" s="28" t="s">
        <v>172</v>
      </c>
      <c r="B8" s="26"/>
      <c r="C8" s="28">
        <v>8000</v>
      </c>
      <c r="D8" s="28"/>
      <c r="E8" s="28">
        <v>14000</v>
      </c>
      <c r="F8" s="1" t="s">
        <v>299</v>
      </c>
      <c r="G8" s="68">
        <f>IRR(G2:G6)</f>
        <v>0.28826723553896194</v>
      </c>
      <c r="H8" s="68">
        <f>IRR(H2:H6)</f>
        <v>0.31566554598706298</v>
      </c>
      <c r="I8" s="56"/>
    </row>
    <row r="9" spans="1:9" x14ac:dyDescent="0.45">
      <c r="A9" s="28" t="s">
        <v>36</v>
      </c>
      <c r="B9" s="26"/>
      <c r="C9" s="28"/>
      <c r="D9" s="28">
        <v>0.15</v>
      </c>
      <c r="E9" s="28"/>
    </row>
    <row r="10" spans="1:9" x14ac:dyDescent="0.45">
      <c r="A10" s="28"/>
      <c r="B10" s="26"/>
      <c r="C10" s="28"/>
      <c r="D10" s="28"/>
      <c r="E10" s="28"/>
      <c r="G10" s="1" t="s">
        <v>300</v>
      </c>
      <c r="H10" s="1" t="s">
        <v>301</v>
      </c>
    </row>
    <row r="11" spans="1:9" x14ac:dyDescent="0.45">
      <c r="A11" s="1" t="s">
        <v>149</v>
      </c>
      <c r="B11" s="1" t="s">
        <v>173</v>
      </c>
      <c r="C11" s="1">
        <f>15000*B20</f>
        <v>42824.675440696657</v>
      </c>
      <c r="D11" s="1" t="s">
        <v>176</v>
      </c>
      <c r="E11" s="1">
        <f>E5*B20</f>
        <v>51389.61052883599</v>
      </c>
    </row>
    <row r="12" spans="1:9" x14ac:dyDescent="0.45">
      <c r="B12" s="1" t="s">
        <v>174</v>
      </c>
      <c r="C12" s="1">
        <f>8000*B19</f>
        <v>4574.0259647442672</v>
      </c>
      <c r="D12" s="1" t="s">
        <v>177</v>
      </c>
      <c r="E12" s="1">
        <f>E8*B19</f>
        <v>8004.545438302468</v>
      </c>
    </row>
    <row r="13" spans="1:9" x14ac:dyDescent="0.45">
      <c r="A13" s="1" t="s">
        <v>175</v>
      </c>
      <c r="C13" s="66">
        <f>SUM(C11:C12)</f>
        <v>47398.701405440923</v>
      </c>
      <c r="E13" s="66">
        <f>SUM(E11:E12)</f>
        <v>59394.15596713846</v>
      </c>
    </row>
    <row r="14" spans="1:9" x14ac:dyDescent="0.45">
      <c r="A14" s="1" t="s">
        <v>150</v>
      </c>
      <c r="B14" s="1">
        <v>25000</v>
      </c>
      <c r="C14" s="1">
        <f>B14</f>
        <v>25000</v>
      </c>
      <c r="D14" s="1">
        <v>30000</v>
      </c>
      <c r="E14" s="1">
        <f>D14</f>
        <v>30000</v>
      </c>
    </row>
    <row r="15" spans="1:9" x14ac:dyDescent="0.45">
      <c r="B15" s="1" t="s">
        <v>178</v>
      </c>
      <c r="C15" s="1">
        <f>C6*B20</f>
        <v>14274.891813565553</v>
      </c>
      <c r="D15" s="1" t="s">
        <v>179</v>
      </c>
      <c r="E15" s="1">
        <f>E6*B20</f>
        <v>17129.870176278662</v>
      </c>
    </row>
    <row r="16" spans="1:9" x14ac:dyDescent="0.45">
      <c r="A16" s="1" t="s">
        <v>180</v>
      </c>
      <c r="C16" s="17">
        <f>SUM(C14:C15)</f>
        <v>39274.891813565555</v>
      </c>
      <c r="E16" s="17">
        <f>SUM(E14:E15)</f>
        <v>47129.870176278666</v>
      </c>
    </row>
    <row r="17" spans="1:5" x14ac:dyDescent="0.45">
      <c r="A17" s="1" t="s">
        <v>181</v>
      </c>
      <c r="C17" s="54">
        <f>C13-C16</f>
        <v>8123.8095918753679</v>
      </c>
      <c r="E17" s="54">
        <f>E13-E16</f>
        <v>12264.285790859794</v>
      </c>
    </row>
    <row r="18" spans="1:5" x14ac:dyDescent="0.45">
      <c r="A18" s="1" t="s">
        <v>182</v>
      </c>
    </row>
    <row r="19" spans="1:5" x14ac:dyDescent="0.45">
      <c r="A19" s="1" t="s">
        <v>183</v>
      </c>
      <c r="B19" s="1">
        <f>(1+D9)^(-4)</f>
        <v>0.57175324559303342</v>
      </c>
    </row>
    <row r="20" spans="1:5" x14ac:dyDescent="0.45">
      <c r="A20" s="1" t="s">
        <v>184</v>
      </c>
      <c r="B20" s="1">
        <f>(1-B19)/D9</f>
        <v>2.8549783627131107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K13"/>
  <sheetViews>
    <sheetView workbookViewId="0">
      <selection activeCell="F13" sqref="F13"/>
    </sheetView>
  </sheetViews>
  <sheetFormatPr defaultColWidth="9.1796875" defaultRowHeight="18.5" x14ac:dyDescent="0.45"/>
  <cols>
    <col min="1" max="1" width="36.453125" style="1" customWidth="1"/>
    <col min="2" max="5" width="9.1796875" style="1"/>
    <col min="6" max="6" width="13.54296875" style="1" customWidth="1"/>
    <col min="7" max="7" width="18.26953125" style="1" customWidth="1"/>
    <col min="8" max="8" width="17" style="1" customWidth="1"/>
    <col min="9" max="9" width="15" style="1" customWidth="1"/>
    <col min="10" max="10" width="17" style="1" customWidth="1"/>
    <col min="11" max="11" width="14.1796875" style="1" customWidth="1"/>
    <col min="12" max="16384" width="9.1796875" style="1"/>
  </cols>
  <sheetData>
    <row r="1" spans="1:11" x14ac:dyDescent="0.45">
      <c r="A1" s="25"/>
      <c r="B1" s="26"/>
      <c r="C1" s="27" t="s">
        <v>1</v>
      </c>
      <c r="D1" s="27"/>
      <c r="E1" s="27" t="s">
        <v>2</v>
      </c>
      <c r="F1" s="1" t="s">
        <v>185</v>
      </c>
      <c r="G1" s="1" t="s">
        <v>152</v>
      </c>
      <c r="H1" s="1" t="s">
        <v>153</v>
      </c>
      <c r="I1" s="1" t="s">
        <v>187</v>
      </c>
      <c r="J1" s="1" t="s">
        <v>188</v>
      </c>
      <c r="K1" s="66" t="s">
        <v>114</v>
      </c>
    </row>
    <row r="2" spans="1:11" x14ac:dyDescent="0.45">
      <c r="A2" s="28" t="s">
        <v>19</v>
      </c>
      <c r="B2" s="26"/>
      <c r="C2" s="28">
        <v>25000</v>
      </c>
      <c r="D2" s="28"/>
      <c r="E2" s="29">
        <v>35000</v>
      </c>
      <c r="F2" s="1" t="s">
        <v>186</v>
      </c>
      <c r="G2" s="1">
        <v>-25000</v>
      </c>
      <c r="H2" s="1">
        <f>-E2</f>
        <v>-35000</v>
      </c>
      <c r="I2" s="1">
        <f>G2</f>
        <v>-25000</v>
      </c>
      <c r="J2" s="45">
        <f>H2</f>
        <v>-35000</v>
      </c>
      <c r="K2" s="45">
        <f>H2-G2</f>
        <v>-10000</v>
      </c>
    </row>
    <row r="3" spans="1:11" x14ac:dyDescent="0.45">
      <c r="A3" s="28" t="s">
        <v>20</v>
      </c>
      <c r="B3" s="26"/>
      <c r="C3" s="28" t="s">
        <v>24</v>
      </c>
      <c r="D3" s="28"/>
      <c r="E3" s="28" t="s">
        <v>22</v>
      </c>
      <c r="F3" s="1">
        <f>1.2^(-1)</f>
        <v>0.83333333333333337</v>
      </c>
      <c r="G3" s="1">
        <f>C5-C6</f>
        <v>10000</v>
      </c>
      <c r="H3" s="1">
        <f>E5-E6</f>
        <v>12000</v>
      </c>
      <c r="I3" s="1">
        <f>F3*G3</f>
        <v>8333.3333333333339</v>
      </c>
      <c r="J3" s="45">
        <f>F3*H3</f>
        <v>10000</v>
      </c>
      <c r="K3" s="45">
        <f t="shared" ref="K3:K5" si="0">H3-G3</f>
        <v>2000</v>
      </c>
    </row>
    <row r="4" spans="1:11" x14ac:dyDescent="0.45">
      <c r="A4" s="28" t="s">
        <v>26</v>
      </c>
      <c r="B4" s="26"/>
      <c r="C4" s="28">
        <v>4000</v>
      </c>
      <c r="D4" s="28"/>
      <c r="E4" s="28">
        <v>5000</v>
      </c>
      <c r="F4" s="1">
        <f>1.2^(-2)</f>
        <v>0.69444444444444442</v>
      </c>
      <c r="G4" s="1">
        <f>C5-C6</f>
        <v>10000</v>
      </c>
      <c r="H4" s="1">
        <f>E5-E6</f>
        <v>12000</v>
      </c>
      <c r="I4" s="1">
        <f>F4*G4</f>
        <v>6944.4444444444443</v>
      </c>
      <c r="J4" s="45">
        <f t="shared" ref="J4:J5" si="1">F4*H4</f>
        <v>8333.3333333333339</v>
      </c>
      <c r="K4" s="45">
        <f t="shared" si="0"/>
        <v>2000</v>
      </c>
    </row>
    <row r="5" spans="1:11" x14ac:dyDescent="0.45">
      <c r="A5" s="28" t="s">
        <v>45</v>
      </c>
      <c r="B5" s="26"/>
      <c r="C5" s="28">
        <v>15000</v>
      </c>
      <c r="D5" s="28"/>
      <c r="E5" s="28">
        <v>18000</v>
      </c>
      <c r="F5" s="1">
        <f>1.2^(-3)</f>
        <v>0.57870370370370372</v>
      </c>
      <c r="G5" s="1">
        <f>C5-C6+C8</f>
        <v>18000</v>
      </c>
      <c r="H5" s="1">
        <f>E5-E6+E8</f>
        <v>26000</v>
      </c>
      <c r="I5" s="1">
        <f>F5*G5</f>
        <v>10416.666666666666</v>
      </c>
      <c r="J5" s="45">
        <f t="shared" si="1"/>
        <v>15046.296296296297</v>
      </c>
      <c r="K5" s="45">
        <f t="shared" si="0"/>
        <v>8000</v>
      </c>
    </row>
    <row r="6" spans="1:11" x14ac:dyDescent="0.45">
      <c r="A6" s="28" t="s">
        <v>27</v>
      </c>
      <c r="B6" s="26"/>
      <c r="C6" s="28">
        <v>5000</v>
      </c>
      <c r="D6" s="28"/>
      <c r="E6" s="28">
        <v>6000</v>
      </c>
      <c r="G6" s="3">
        <f>SUM(G2:G5)</f>
        <v>13000</v>
      </c>
      <c r="H6" s="3">
        <f>SUM(H2:H5)</f>
        <v>15000</v>
      </c>
      <c r="I6" s="71">
        <f>SUM(I2:I5)</f>
        <v>694.44444444444707</v>
      </c>
      <c r="J6" s="71">
        <f>SUM(J2:J5)</f>
        <v>-1620.3703703703668</v>
      </c>
      <c r="K6" s="72">
        <f>SUM(K2:K5)</f>
        <v>2000</v>
      </c>
    </row>
    <row r="7" spans="1:11" x14ac:dyDescent="0.45">
      <c r="A7" s="28" t="s">
        <v>28</v>
      </c>
      <c r="B7" s="26"/>
      <c r="C7" s="28" t="s">
        <v>21</v>
      </c>
      <c r="D7" s="28"/>
      <c r="E7" s="28" t="s">
        <v>21</v>
      </c>
      <c r="G7" s="55">
        <f>IRR(G2:G5)</f>
        <v>0.21594015749991935</v>
      </c>
      <c r="H7" s="55">
        <f>IRR(H2:H5)</f>
        <v>0.17394213659736413</v>
      </c>
      <c r="I7" s="40"/>
      <c r="K7" s="56">
        <f>IRR(K2:K5)</f>
        <v>7.6347479201662072E-2</v>
      </c>
    </row>
    <row r="8" spans="1:11" x14ac:dyDescent="0.45">
      <c r="A8" s="28" t="s">
        <v>34</v>
      </c>
      <c r="B8" s="26"/>
      <c r="C8" s="28">
        <v>8000</v>
      </c>
      <c r="D8" s="28"/>
      <c r="E8" s="28">
        <v>14000</v>
      </c>
      <c r="G8" s="44"/>
      <c r="H8" s="44"/>
    </row>
    <row r="9" spans="1:11" x14ac:dyDescent="0.45">
      <c r="A9" s="28" t="s">
        <v>155</v>
      </c>
      <c r="B9" s="26"/>
      <c r="C9" s="28"/>
      <c r="D9" s="28"/>
      <c r="E9" s="28"/>
    </row>
    <row r="10" spans="1:11" x14ac:dyDescent="0.45">
      <c r="A10" s="28" t="s">
        <v>189</v>
      </c>
      <c r="B10" s="26"/>
      <c r="C10" s="28"/>
      <c r="D10" s="28"/>
      <c r="E10" s="28"/>
    </row>
    <row r="11" spans="1:11" x14ac:dyDescent="0.45">
      <c r="A11" s="1" t="s">
        <v>190</v>
      </c>
    </row>
    <row r="12" spans="1:11" x14ac:dyDescent="0.45">
      <c r="A12" s="1" t="s">
        <v>191</v>
      </c>
      <c r="C12" s="50">
        <f>20000*(0.12/(1-B13))</f>
        <v>8326.9796111901323</v>
      </c>
      <c r="D12" s="66"/>
      <c r="E12" s="51">
        <f>28000*(0.12/(1-B13))</f>
        <v>11657.771455666185</v>
      </c>
      <c r="F12" s="1" t="s">
        <v>217</v>
      </c>
    </row>
    <row r="13" spans="1:11" x14ac:dyDescent="0.45">
      <c r="B13" s="1">
        <f>1.12^(-3)</f>
        <v>0.71178024781341087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</sheetPr>
  <dimension ref="A1:I15"/>
  <sheetViews>
    <sheetView workbookViewId="0">
      <selection activeCell="A16" sqref="A16"/>
    </sheetView>
  </sheetViews>
  <sheetFormatPr defaultColWidth="9.1796875" defaultRowHeight="18.5" x14ac:dyDescent="0.45"/>
  <cols>
    <col min="1" max="1" width="44.26953125" style="1" customWidth="1"/>
    <col min="2" max="2" width="9.1796875" style="1"/>
    <col min="3" max="3" width="10.1796875" style="1" customWidth="1"/>
    <col min="4" max="4" width="6.08984375" style="1" customWidth="1"/>
    <col min="5" max="5" width="9.1796875" style="1"/>
    <col min="6" max="6" width="10.54296875" style="1" customWidth="1"/>
    <col min="7" max="16384" width="9.1796875" style="1"/>
  </cols>
  <sheetData>
    <row r="1" spans="1:9" x14ac:dyDescent="0.45">
      <c r="A1" s="15">
        <v>1</v>
      </c>
      <c r="E1" s="46" t="s">
        <v>1</v>
      </c>
      <c r="F1" s="46" t="s">
        <v>2</v>
      </c>
      <c r="H1" s="1" t="s">
        <v>138</v>
      </c>
    </row>
    <row r="2" spans="1:9" x14ac:dyDescent="0.45">
      <c r="A2" s="15" t="s">
        <v>145</v>
      </c>
      <c r="D2" s="1" t="s">
        <v>248</v>
      </c>
      <c r="E2" s="1">
        <f>-B4</f>
        <v>-18000</v>
      </c>
      <c r="F2" s="1">
        <f>-B7</f>
        <v>-10000</v>
      </c>
      <c r="H2" s="1">
        <f>E2-F2</f>
        <v>-8000</v>
      </c>
    </row>
    <row r="3" spans="1:9" x14ac:dyDescent="0.45">
      <c r="A3" s="17" t="s">
        <v>119</v>
      </c>
      <c r="C3" s="1" t="s">
        <v>105</v>
      </c>
      <c r="D3" s="1" t="s">
        <v>249</v>
      </c>
      <c r="E3" s="1">
        <v>-3000</v>
      </c>
      <c r="F3" s="1">
        <v>-4200</v>
      </c>
      <c r="H3" s="1">
        <f t="shared" ref="H3:H12" si="0">E3-F3</f>
        <v>1200</v>
      </c>
    </row>
    <row r="4" spans="1:9" x14ac:dyDescent="0.45">
      <c r="A4" s="1" t="s">
        <v>146</v>
      </c>
      <c r="B4" s="2">
        <v>18000</v>
      </c>
      <c r="C4" s="1" t="s">
        <v>106</v>
      </c>
      <c r="D4" s="1" t="s">
        <v>250</v>
      </c>
      <c r="E4" s="1">
        <v>-3000</v>
      </c>
      <c r="F4" s="1">
        <v>-4200</v>
      </c>
      <c r="H4" s="1">
        <f t="shared" si="0"/>
        <v>1200</v>
      </c>
    </row>
    <row r="5" spans="1:9" x14ac:dyDescent="0.45">
      <c r="A5" s="1" t="s">
        <v>118</v>
      </c>
      <c r="B5" s="2">
        <v>3000</v>
      </c>
      <c r="C5" s="1" t="s">
        <v>107</v>
      </c>
      <c r="D5" s="1" t="s">
        <v>251</v>
      </c>
      <c r="E5" s="1">
        <v>-3000</v>
      </c>
      <c r="F5" s="1">
        <v>-4200</v>
      </c>
      <c r="H5" s="1">
        <f t="shared" si="0"/>
        <v>1200</v>
      </c>
    </row>
    <row r="6" spans="1:9" x14ac:dyDescent="0.45">
      <c r="A6" s="17" t="s">
        <v>120</v>
      </c>
      <c r="C6" s="1" t="s">
        <v>108</v>
      </c>
      <c r="D6" s="1" t="s">
        <v>252</v>
      </c>
      <c r="E6" s="1">
        <v>-3000</v>
      </c>
      <c r="F6" s="1">
        <v>-4200</v>
      </c>
      <c r="H6" s="1">
        <f t="shared" si="0"/>
        <v>1200</v>
      </c>
    </row>
    <row r="7" spans="1:9" x14ac:dyDescent="0.45">
      <c r="A7" s="1" t="s">
        <v>146</v>
      </c>
      <c r="B7" s="2">
        <v>10000</v>
      </c>
      <c r="C7" s="1" t="s">
        <v>109</v>
      </c>
      <c r="D7" s="1" t="s">
        <v>253</v>
      </c>
      <c r="E7" s="1">
        <v>-3000</v>
      </c>
      <c r="F7" s="1">
        <v>-4200</v>
      </c>
      <c r="H7" s="1">
        <f t="shared" si="0"/>
        <v>1200</v>
      </c>
    </row>
    <row r="8" spans="1:9" x14ac:dyDescent="0.45">
      <c r="A8" s="1" t="s">
        <v>121</v>
      </c>
      <c r="B8" s="2">
        <v>4200</v>
      </c>
      <c r="C8" s="1" t="s">
        <v>110</v>
      </c>
      <c r="D8" s="1" t="s">
        <v>254</v>
      </c>
      <c r="E8" s="1">
        <v>-3000</v>
      </c>
      <c r="F8" s="1">
        <v>-4200</v>
      </c>
      <c r="H8" s="1">
        <f t="shared" si="0"/>
        <v>1200</v>
      </c>
    </row>
    <row r="9" spans="1:9" x14ac:dyDescent="0.45">
      <c r="A9" s="1" t="s">
        <v>147</v>
      </c>
      <c r="B9" s="2">
        <v>10</v>
      </c>
      <c r="C9" s="1" t="s">
        <v>111</v>
      </c>
      <c r="D9" s="1" t="s">
        <v>255</v>
      </c>
      <c r="E9" s="1">
        <v>-3000</v>
      </c>
      <c r="F9" s="1">
        <v>-4200</v>
      </c>
      <c r="H9" s="1">
        <f t="shared" si="0"/>
        <v>1200</v>
      </c>
    </row>
    <row r="10" spans="1:9" x14ac:dyDescent="0.45">
      <c r="C10" s="1" t="s">
        <v>112</v>
      </c>
      <c r="D10" s="1" t="s">
        <v>302</v>
      </c>
      <c r="E10" s="1">
        <v>-3000</v>
      </c>
      <c r="F10" s="1">
        <v>-4200</v>
      </c>
      <c r="H10" s="1">
        <f t="shared" si="0"/>
        <v>1200</v>
      </c>
    </row>
    <row r="11" spans="1:9" x14ac:dyDescent="0.45">
      <c r="C11" s="1" t="s">
        <v>113</v>
      </c>
      <c r="D11" s="1" t="s">
        <v>303</v>
      </c>
      <c r="E11" s="1">
        <v>-3000</v>
      </c>
      <c r="F11" s="1">
        <v>-4200</v>
      </c>
      <c r="H11" s="1">
        <f t="shared" si="0"/>
        <v>1200</v>
      </c>
    </row>
    <row r="12" spans="1:9" x14ac:dyDescent="0.45">
      <c r="C12" s="1" t="s">
        <v>305</v>
      </c>
      <c r="D12" s="1" t="s">
        <v>304</v>
      </c>
      <c r="E12" s="1">
        <v>-3000</v>
      </c>
      <c r="F12" s="1">
        <v>-4200</v>
      </c>
      <c r="H12" s="1">
        <f t="shared" si="0"/>
        <v>1200</v>
      </c>
    </row>
    <row r="13" spans="1:9" x14ac:dyDescent="0.45">
      <c r="B13" s="1" t="s">
        <v>306</v>
      </c>
      <c r="E13" s="16">
        <f>SUM(E2:E12)</f>
        <v>-48000</v>
      </c>
      <c r="F13" s="16">
        <f>SUM(F2:F12)</f>
        <v>-52000</v>
      </c>
      <c r="G13" s="1" t="s">
        <v>229</v>
      </c>
      <c r="H13" s="73">
        <f>SUM(H2:H12)</f>
        <v>4000</v>
      </c>
    </row>
    <row r="14" spans="1:9" x14ac:dyDescent="0.45">
      <c r="A14" s="66" t="s">
        <v>308</v>
      </c>
      <c r="B14" s="1" t="s">
        <v>239</v>
      </c>
      <c r="C14" s="1" t="s">
        <v>309</v>
      </c>
      <c r="D14" s="1" t="s">
        <v>310</v>
      </c>
      <c r="H14" s="135">
        <f>IRR(H2:H12)</f>
        <v>8.1441656464365852E-2</v>
      </c>
      <c r="I14" s="1" t="s">
        <v>307</v>
      </c>
    </row>
    <row r="15" spans="1:9" x14ac:dyDescent="0.45">
      <c r="B15" s="1" t="s">
        <v>235</v>
      </c>
      <c r="C15" s="1" t="s">
        <v>311</v>
      </c>
    </row>
  </sheetData>
  <phoneticPr fontId="3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K17"/>
  <sheetViews>
    <sheetView topLeftCell="A7" workbookViewId="0">
      <selection activeCell="C6" sqref="C6"/>
    </sheetView>
  </sheetViews>
  <sheetFormatPr defaultColWidth="9.1796875" defaultRowHeight="18.5" x14ac:dyDescent="0.45"/>
  <cols>
    <col min="1" max="1" width="38.7265625" style="1" customWidth="1"/>
    <col min="2" max="2" width="16.453125" style="1" customWidth="1"/>
    <col min="3" max="3" width="11.1796875" style="1" customWidth="1"/>
    <col min="4" max="4" width="13.54296875" style="1" customWidth="1"/>
    <col min="5" max="5" width="10.81640625" style="1" customWidth="1"/>
    <col min="6" max="6" width="22.1796875" style="1" customWidth="1"/>
    <col min="7" max="8" width="9.1796875" style="1"/>
    <col min="9" max="9" width="9.81640625" style="1" customWidth="1"/>
    <col min="10" max="16384" width="9.1796875" style="1"/>
  </cols>
  <sheetData>
    <row r="1" spans="1:11" x14ac:dyDescent="0.45">
      <c r="A1" s="25"/>
      <c r="B1" s="29"/>
      <c r="C1" s="27" t="s">
        <v>1</v>
      </c>
      <c r="D1" s="27"/>
      <c r="E1" s="27" t="s">
        <v>2</v>
      </c>
      <c r="G1" s="1" t="s">
        <v>1</v>
      </c>
      <c r="H1" s="1" t="s">
        <v>2</v>
      </c>
      <c r="J1" s="136" t="s">
        <v>312</v>
      </c>
      <c r="K1" s="136" t="s">
        <v>313</v>
      </c>
    </row>
    <row r="2" spans="1:11" x14ac:dyDescent="0.45">
      <c r="A2" s="28" t="s">
        <v>19</v>
      </c>
      <c r="B2" s="29"/>
      <c r="C2" s="28">
        <v>25000</v>
      </c>
      <c r="D2" s="28"/>
      <c r="E2" s="29">
        <v>30000</v>
      </c>
      <c r="F2" s="1" t="s">
        <v>149</v>
      </c>
      <c r="J2" s="1">
        <f>-C2</f>
        <v>-25000</v>
      </c>
      <c r="K2" s="1">
        <f>-E2</f>
        <v>-30000</v>
      </c>
    </row>
    <row r="3" spans="1:11" x14ac:dyDescent="0.45">
      <c r="A3" s="28" t="s">
        <v>20</v>
      </c>
      <c r="B3" s="29"/>
      <c r="C3" s="25" t="s">
        <v>21</v>
      </c>
      <c r="D3" s="28"/>
      <c r="E3" s="25" t="s">
        <v>37</v>
      </c>
      <c r="F3" s="1" t="s">
        <v>192</v>
      </c>
      <c r="G3" s="1">
        <f>C5*C16</f>
        <v>35934.232645864926</v>
      </c>
      <c r="H3" s="1">
        <f>E5*C17</f>
        <v>65485.873073224699</v>
      </c>
      <c r="I3" s="1" t="s">
        <v>202</v>
      </c>
      <c r="J3" s="1">
        <f>$C$5-$C$6</f>
        <v>10000</v>
      </c>
      <c r="K3" s="1">
        <f>$E$5-$E$6</f>
        <v>12000</v>
      </c>
    </row>
    <row r="4" spans="1:11" x14ac:dyDescent="0.45">
      <c r="A4" s="28" t="s">
        <v>26</v>
      </c>
      <c r="B4" s="29"/>
      <c r="C4" s="28">
        <v>3000</v>
      </c>
      <c r="D4" s="28"/>
      <c r="E4" s="28">
        <v>4000</v>
      </c>
      <c r="F4" s="1" t="s">
        <v>193</v>
      </c>
      <c r="G4" s="1">
        <f>C9*C14</f>
        <v>10493.530859729019</v>
      </c>
      <c r="H4" s="1">
        <f>E4*C15</f>
        <v>1904.4520616568095</v>
      </c>
      <c r="I4" s="1" t="s">
        <v>203</v>
      </c>
      <c r="J4" s="1">
        <f>$C$5-$C$6</f>
        <v>10000</v>
      </c>
      <c r="K4" s="1">
        <f>$E$5-$E$6</f>
        <v>12000</v>
      </c>
    </row>
    <row r="5" spans="1:11" x14ac:dyDescent="0.45">
      <c r="A5" s="28" t="s">
        <v>45</v>
      </c>
      <c r="B5" s="29"/>
      <c r="C5" s="28">
        <v>16000</v>
      </c>
      <c r="D5" s="28"/>
      <c r="E5" s="28">
        <v>20000</v>
      </c>
      <c r="F5" s="1" t="s">
        <v>194</v>
      </c>
      <c r="G5" s="1">
        <f>C9*C15</f>
        <v>9046.1472928698458</v>
      </c>
      <c r="J5" s="17">
        <f>$C$5-$C$6+C4-C8</f>
        <v>-15000</v>
      </c>
      <c r="K5" s="1">
        <f>$E$5-$E$6</f>
        <v>12000</v>
      </c>
    </row>
    <row r="6" spans="1:11" x14ac:dyDescent="0.45">
      <c r="A6" s="28" t="s">
        <v>27</v>
      </c>
      <c r="B6" s="29"/>
      <c r="C6" s="28">
        <v>6000</v>
      </c>
      <c r="D6" s="28"/>
      <c r="E6" s="28">
        <v>8000</v>
      </c>
      <c r="F6" s="1" t="s">
        <v>200</v>
      </c>
      <c r="G6" s="1">
        <f>C4*C13</f>
        <v>1921.9730206240522</v>
      </c>
      <c r="J6" s="1">
        <f>$C$9-$C$10</f>
        <v>12000</v>
      </c>
      <c r="K6" s="1">
        <f>$E$5-$E$6</f>
        <v>12000</v>
      </c>
    </row>
    <row r="7" spans="1:11" x14ac:dyDescent="0.45">
      <c r="A7" s="28" t="s">
        <v>28</v>
      </c>
      <c r="B7" s="29"/>
      <c r="C7" s="137" t="s">
        <v>22</v>
      </c>
      <c r="D7" s="137"/>
      <c r="E7" s="137" t="s">
        <v>22</v>
      </c>
      <c r="F7" s="1" t="s">
        <v>201</v>
      </c>
      <c r="G7" s="1">
        <f>C11*C15</f>
        <v>7141.6952312130352</v>
      </c>
      <c r="J7" s="66">
        <f>$C$9-$C$10+C11</f>
        <v>27000</v>
      </c>
      <c r="K7" s="66">
        <f>$E$5-$E$6+E11</f>
        <v>18000</v>
      </c>
    </row>
    <row r="8" spans="1:11" x14ac:dyDescent="0.45">
      <c r="A8" s="28" t="s">
        <v>30</v>
      </c>
      <c r="B8" s="29"/>
      <c r="C8" s="28">
        <v>28000</v>
      </c>
      <c r="D8" s="28"/>
      <c r="E8" s="28">
        <v>0</v>
      </c>
      <c r="F8" s="1" t="s">
        <v>195</v>
      </c>
      <c r="G8" s="54">
        <f>SUM(G3:G7)</f>
        <v>64537.579050300883</v>
      </c>
      <c r="H8" s="54">
        <f>SUM(H3:H7)</f>
        <v>67390.32513488151</v>
      </c>
      <c r="I8" s="1" t="s">
        <v>294</v>
      </c>
      <c r="J8" s="17">
        <f>SUM(J2:J7)</f>
        <v>19000</v>
      </c>
      <c r="K8" s="17">
        <f>SUM(K2:K7)</f>
        <v>36000</v>
      </c>
    </row>
    <row r="9" spans="1:11" x14ac:dyDescent="0.45">
      <c r="A9" s="28" t="s">
        <v>46</v>
      </c>
      <c r="B9" s="29"/>
      <c r="C9" s="28">
        <v>19000</v>
      </c>
      <c r="D9" s="28"/>
      <c r="E9" s="28"/>
      <c r="G9" s="24"/>
      <c r="H9" s="24"/>
      <c r="I9" s="24" t="s">
        <v>315</v>
      </c>
      <c r="J9" s="131">
        <f>IRR(J2:J7)</f>
        <v>0.17294153156010794</v>
      </c>
      <c r="K9" s="131">
        <f>IRR(K2:K7)</f>
        <v>0.31386852421091049</v>
      </c>
    </row>
    <row r="10" spans="1:11" ht="20.25" customHeight="1" x14ac:dyDescent="0.45">
      <c r="A10" s="28" t="s">
        <v>31</v>
      </c>
      <c r="B10" s="29"/>
      <c r="C10" s="28">
        <v>7000</v>
      </c>
      <c r="D10" s="28"/>
      <c r="E10" s="28"/>
      <c r="F10" s="1" t="s">
        <v>150</v>
      </c>
    </row>
    <row r="11" spans="1:11" ht="36" x14ac:dyDescent="0.45">
      <c r="A11" s="28" t="s">
        <v>33</v>
      </c>
      <c r="B11" s="29"/>
      <c r="C11" s="59">
        <v>15000</v>
      </c>
      <c r="D11" s="28" t="s">
        <v>314</v>
      </c>
      <c r="E11" s="59">
        <v>6000</v>
      </c>
      <c r="F11" s="1">
        <v>25000</v>
      </c>
      <c r="G11" s="1">
        <f>F11</f>
        <v>25000</v>
      </c>
      <c r="H11" s="1">
        <f>I11</f>
        <v>30000</v>
      </c>
      <c r="I11" s="1">
        <v>30000</v>
      </c>
    </row>
    <row r="12" spans="1:11" x14ac:dyDescent="0.45">
      <c r="A12" s="28" t="s">
        <v>35</v>
      </c>
      <c r="B12" s="29"/>
      <c r="C12" s="28"/>
      <c r="D12" s="28"/>
      <c r="E12" s="28"/>
      <c r="F12" s="1" t="s">
        <v>196</v>
      </c>
      <c r="G12" s="1">
        <f>C6*C16</f>
        <v>13475.337242199346</v>
      </c>
      <c r="H12" s="1">
        <f>E6*C17</f>
        <v>26194.349229289881</v>
      </c>
      <c r="I12" s="1" t="s">
        <v>204</v>
      </c>
    </row>
    <row r="13" spans="1:11" ht="17.25" customHeight="1" x14ac:dyDescent="0.45">
      <c r="A13" s="28"/>
      <c r="B13" s="74" t="s">
        <v>167</v>
      </c>
      <c r="C13" s="75">
        <f>1.16^(-3)</f>
        <v>0.64065767354135073</v>
      </c>
      <c r="D13" s="28"/>
      <c r="E13" s="28"/>
      <c r="F13" s="1" t="s">
        <v>197</v>
      </c>
      <c r="G13" s="1">
        <f>C10*C14</f>
        <v>3866.0376851633227</v>
      </c>
    </row>
    <row r="14" spans="1:11" x14ac:dyDescent="0.45">
      <c r="B14" s="74" t="s">
        <v>205</v>
      </c>
      <c r="C14" s="75">
        <f>1.16^(-4)</f>
        <v>0.5522910978804747</v>
      </c>
      <c r="F14" s="1" t="s">
        <v>198</v>
      </c>
      <c r="G14" s="1">
        <f>C10*C15</f>
        <v>3332.7911078994166</v>
      </c>
    </row>
    <row r="15" spans="1:11" x14ac:dyDescent="0.45">
      <c r="B15" s="74" t="s">
        <v>206</v>
      </c>
      <c r="C15" s="75">
        <f>1.16^(-5)</f>
        <v>0.47611301541420237</v>
      </c>
      <c r="F15" s="15" t="s">
        <v>199</v>
      </c>
      <c r="G15" s="1">
        <f>C8*C13</f>
        <v>17938.41485915782</v>
      </c>
    </row>
    <row r="16" spans="1:11" ht="19.5" customHeight="1" x14ac:dyDescent="0.45">
      <c r="B16" s="74" t="s">
        <v>168</v>
      </c>
      <c r="C16" s="69">
        <f>(1-C13)/0.16</f>
        <v>2.2458895403665577</v>
      </c>
      <c r="G16" s="66">
        <f>SUM(G11:G15)</f>
        <v>63612.580894419909</v>
      </c>
      <c r="H16" s="66">
        <f>SUM(H11:H15)</f>
        <v>56194.349229289881</v>
      </c>
    </row>
    <row r="17" spans="2:8" ht="19.5" customHeight="1" x14ac:dyDescent="0.45">
      <c r="B17" s="74" t="s">
        <v>207</v>
      </c>
      <c r="C17" s="69">
        <f>(1-C15)/0.16</f>
        <v>3.274293653661235</v>
      </c>
      <c r="F17" s="1" t="s">
        <v>208</v>
      </c>
      <c r="G17" s="51">
        <f>G8-G16</f>
        <v>924.99815588097408</v>
      </c>
      <c r="H17" s="51">
        <f>H8-H16</f>
        <v>11195.975905591629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I10"/>
  <sheetViews>
    <sheetView workbookViewId="0">
      <selection activeCell="C9" sqref="C9"/>
    </sheetView>
  </sheetViews>
  <sheetFormatPr defaultColWidth="9.1796875" defaultRowHeight="18.5" x14ac:dyDescent="0.45"/>
  <cols>
    <col min="1" max="1" width="36.453125" style="1" customWidth="1"/>
    <col min="2" max="6" width="9.1796875" style="1"/>
    <col min="7" max="7" width="18.26953125" style="1" customWidth="1"/>
    <col min="8" max="8" width="17" style="1" customWidth="1"/>
    <col min="9" max="9" width="23.7265625" style="1" customWidth="1"/>
    <col min="10" max="16384" width="9.1796875" style="1"/>
  </cols>
  <sheetData>
    <row r="1" spans="1:9" x14ac:dyDescent="0.45">
      <c r="A1" s="25"/>
      <c r="B1" s="26"/>
      <c r="C1" s="27" t="s">
        <v>1</v>
      </c>
      <c r="D1" s="27"/>
      <c r="E1" s="27" t="s">
        <v>2</v>
      </c>
      <c r="G1" s="1" t="s">
        <v>152</v>
      </c>
      <c r="H1" s="1" t="s">
        <v>153</v>
      </c>
      <c r="I1" s="1" t="s">
        <v>154</v>
      </c>
    </row>
    <row r="2" spans="1:9" x14ac:dyDescent="0.45">
      <c r="A2" s="28" t="s">
        <v>19</v>
      </c>
      <c r="B2" s="26"/>
      <c r="C2" s="28">
        <v>15000</v>
      </c>
      <c r="D2" s="28"/>
      <c r="E2" s="29">
        <v>25000</v>
      </c>
    </row>
    <row r="3" spans="1:9" x14ac:dyDescent="0.45">
      <c r="A3" s="28" t="s">
        <v>20</v>
      </c>
      <c r="B3" s="26"/>
      <c r="C3" s="28" t="s">
        <v>24</v>
      </c>
      <c r="D3" s="28"/>
      <c r="E3" s="28" t="s">
        <v>22</v>
      </c>
    </row>
    <row r="4" spans="1:9" x14ac:dyDescent="0.45">
      <c r="A4" s="28" t="s">
        <v>26</v>
      </c>
      <c r="B4" s="26"/>
      <c r="C4" s="28">
        <v>3000</v>
      </c>
      <c r="D4" s="28"/>
      <c r="E4" s="28">
        <v>4000</v>
      </c>
    </row>
    <row r="5" spans="1:9" x14ac:dyDescent="0.45">
      <c r="A5" s="28" t="s">
        <v>45</v>
      </c>
      <c r="B5" s="26"/>
      <c r="C5" s="28"/>
      <c r="D5" s="28"/>
      <c r="E5" s="28"/>
    </row>
    <row r="6" spans="1:9" x14ac:dyDescent="0.45">
      <c r="A6" s="28" t="s">
        <v>27</v>
      </c>
      <c r="B6" s="26"/>
      <c r="C6" s="28">
        <v>7000</v>
      </c>
      <c r="D6" s="28"/>
      <c r="E6" s="28">
        <v>5000</v>
      </c>
      <c r="G6" s="3"/>
      <c r="H6" s="3"/>
      <c r="I6" s="3"/>
    </row>
    <row r="7" spans="1:9" x14ac:dyDescent="0.45">
      <c r="A7" s="28" t="s">
        <v>28</v>
      </c>
      <c r="B7" s="26"/>
      <c r="C7" s="28" t="s">
        <v>21</v>
      </c>
      <c r="D7" s="28"/>
      <c r="E7" s="28" t="s">
        <v>21</v>
      </c>
      <c r="G7" s="43"/>
      <c r="H7" s="43"/>
      <c r="I7" s="40"/>
    </row>
    <row r="8" spans="1:9" x14ac:dyDescent="0.45">
      <c r="A8" s="28" t="s">
        <v>34</v>
      </c>
      <c r="B8" s="26"/>
      <c r="C8" s="28">
        <v>6000</v>
      </c>
      <c r="D8" s="28"/>
      <c r="E8" s="28">
        <v>10000</v>
      </c>
      <c r="G8" s="44"/>
      <c r="H8" s="44"/>
    </row>
    <row r="9" spans="1:9" x14ac:dyDescent="0.45">
      <c r="A9" s="28" t="s">
        <v>155</v>
      </c>
      <c r="B9" s="26"/>
      <c r="C9" s="28"/>
      <c r="D9" s="28"/>
      <c r="E9" s="28"/>
    </row>
    <row r="10" spans="1:9" x14ac:dyDescent="0.45">
      <c r="A10" s="28"/>
      <c r="B10" s="26"/>
      <c r="C10" s="28"/>
      <c r="D10" s="28"/>
      <c r="E10" s="28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J17"/>
  <sheetViews>
    <sheetView workbookViewId="0">
      <selection activeCell="C8" sqref="C8"/>
    </sheetView>
  </sheetViews>
  <sheetFormatPr defaultColWidth="9.1796875" defaultRowHeight="18.5" x14ac:dyDescent="0.45"/>
  <cols>
    <col min="1" max="1" width="38.7265625" style="1" customWidth="1"/>
    <col min="2" max="2" width="16.453125" style="1" customWidth="1"/>
    <col min="3" max="3" width="11.1796875" style="1" customWidth="1"/>
    <col min="4" max="4" width="9.1796875" style="1"/>
    <col min="5" max="5" width="10.81640625" style="1" customWidth="1"/>
    <col min="6" max="6" width="22.1796875" style="1" customWidth="1"/>
    <col min="7" max="7" width="17" style="1" customWidth="1"/>
    <col min="8" max="8" width="16.54296875" style="1" customWidth="1"/>
    <col min="9" max="9" width="21.54296875" style="1" customWidth="1"/>
    <col min="10" max="10" width="13" style="1" customWidth="1"/>
    <col min="11" max="16384" width="9.1796875" style="1"/>
  </cols>
  <sheetData>
    <row r="1" spans="1:10" x14ac:dyDescent="0.45">
      <c r="A1" s="25"/>
      <c r="B1" s="29"/>
      <c r="C1" s="27" t="s">
        <v>1</v>
      </c>
      <c r="D1" s="27"/>
      <c r="E1" s="27" t="s">
        <v>2</v>
      </c>
      <c r="G1" s="1" t="s">
        <v>1</v>
      </c>
      <c r="H1" s="1" t="s">
        <v>2</v>
      </c>
      <c r="J1" s="66" t="s">
        <v>114</v>
      </c>
    </row>
    <row r="2" spans="1:10" x14ac:dyDescent="0.45">
      <c r="A2" s="28" t="s">
        <v>19</v>
      </c>
      <c r="B2" s="29"/>
      <c r="C2" s="28">
        <v>30000</v>
      </c>
      <c r="D2" s="28"/>
      <c r="E2" s="29">
        <v>35000</v>
      </c>
      <c r="G2" s="1">
        <f>-C2</f>
        <v>-30000</v>
      </c>
      <c r="H2" s="1">
        <f>-E2</f>
        <v>-35000</v>
      </c>
      <c r="J2" s="1">
        <f>H2-G2</f>
        <v>-5000</v>
      </c>
    </row>
    <row r="3" spans="1:10" x14ac:dyDescent="0.45">
      <c r="A3" s="28" t="s">
        <v>20</v>
      </c>
      <c r="B3" s="29"/>
      <c r="C3" s="25" t="s">
        <v>24</v>
      </c>
      <c r="D3" s="28"/>
      <c r="E3" s="25" t="s">
        <v>25</v>
      </c>
      <c r="G3" s="1">
        <f>C5-C6</f>
        <v>10000</v>
      </c>
      <c r="H3" s="1">
        <f>E5-E6</f>
        <v>9000</v>
      </c>
      <c r="J3" s="1">
        <f t="shared" ref="J3:J9" si="0">H3-G3</f>
        <v>-1000</v>
      </c>
    </row>
    <row r="4" spans="1:10" x14ac:dyDescent="0.45">
      <c r="A4" s="28" t="s">
        <v>26</v>
      </c>
      <c r="B4" s="29"/>
      <c r="C4" s="28">
        <v>5000</v>
      </c>
      <c r="D4" s="28"/>
      <c r="E4" s="28">
        <v>6000</v>
      </c>
      <c r="G4" s="1">
        <f>C5-C6</f>
        <v>10000</v>
      </c>
      <c r="H4" s="1">
        <f>E5-E6</f>
        <v>9000</v>
      </c>
      <c r="J4" s="1">
        <f t="shared" si="0"/>
        <v>-1000</v>
      </c>
    </row>
    <row r="5" spans="1:10" x14ac:dyDescent="0.45">
      <c r="A5" s="28" t="s">
        <v>45</v>
      </c>
      <c r="B5" s="29"/>
      <c r="C5" s="28">
        <v>16000</v>
      </c>
      <c r="D5" s="28"/>
      <c r="E5" s="28">
        <v>20000</v>
      </c>
      <c r="G5" s="1">
        <f>C5-C6</f>
        <v>10000</v>
      </c>
      <c r="H5" s="1">
        <f>E5-E6</f>
        <v>9000</v>
      </c>
      <c r="J5" s="1">
        <f t="shared" si="0"/>
        <v>-1000</v>
      </c>
    </row>
    <row r="6" spans="1:10" x14ac:dyDescent="0.45">
      <c r="A6" s="28" t="s">
        <v>27</v>
      </c>
      <c r="B6" s="29"/>
      <c r="C6" s="28">
        <v>6000</v>
      </c>
      <c r="D6" s="28"/>
      <c r="E6" s="28">
        <v>11000</v>
      </c>
      <c r="G6" s="1">
        <f>C5-C6-C8</f>
        <v>-15000</v>
      </c>
      <c r="H6" s="1">
        <f>E5-E6</f>
        <v>9000</v>
      </c>
      <c r="J6" s="1">
        <f t="shared" si="0"/>
        <v>24000</v>
      </c>
    </row>
    <row r="7" spans="1:10" x14ac:dyDescent="0.45">
      <c r="A7" s="28" t="s">
        <v>28</v>
      </c>
      <c r="B7" s="29"/>
      <c r="C7" s="28" t="s">
        <v>218</v>
      </c>
      <c r="D7" s="28"/>
      <c r="E7" s="28" t="s">
        <v>218</v>
      </c>
      <c r="G7" s="1">
        <f>C9-C10</f>
        <v>15000</v>
      </c>
      <c r="H7" s="1">
        <f>E5-E6</f>
        <v>9000</v>
      </c>
      <c r="J7" s="1">
        <f t="shared" si="0"/>
        <v>-6000</v>
      </c>
    </row>
    <row r="8" spans="1:10" x14ac:dyDescent="0.45">
      <c r="A8" s="28" t="s">
        <v>30</v>
      </c>
      <c r="B8" s="29"/>
      <c r="C8" s="28">
        <v>25000</v>
      </c>
      <c r="D8" s="28"/>
      <c r="E8" s="28">
        <v>0</v>
      </c>
      <c r="G8" s="57">
        <f>C9-C10+C11</f>
        <v>26000</v>
      </c>
      <c r="H8" s="57">
        <f>E5-E6+E11</f>
        <v>17000</v>
      </c>
      <c r="J8" s="1">
        <f t="shared" si="0"/>
        <v>-9000</v>
      </c>
    </row>
    <row r="9" spans="1:10" x14ac:dyDescent="0.45">
      <c r="A9" s="28" t="s">
        <v>219</v>
      </c>
      <c r="B9" s="29"/>
      <c r="C9" s="28">
        <v>22000</v>
      </c>
      <c r="D9" s="28"/>
      <c r="E9" s="28"/>
      <c r="G9" s="81">
        <f>SUM(G2:G8)</f>
        <v>26000</v>
      </c>
      <c r="H9" s="81">
        <f>SUM(H2:H8)</f>
        <v>27000</v>
      </c>
      <c r="I9" s="24"/>
      <c r="J9" s="2">
        <f t="shared" si="0"/>
        <v>1000</v>
      </c>
    </row>
    <row r="10" spans="1:10" ht="20.25" customHeight="1" x14ac:dyDescent="0.45">
      <c r="A10" s="28" t="s">
        <v>220</v>
      </c>
      <c r="B10" s="29"/>
      <c r="C10" s="28">
        <v>7000</v>
      </c>
      <c r="D10" s="28"/>
      <c r="E10" s="28"/>
      <c r="G10" s="82">
        <f>IRR(G2:G8)</f>
        <v>0.18228259345624509</v>
      </c>
      <c r="H10" s="82">
        <f>IRR(H2:H8)</f>
        <v>0.17424697474353579</v>
      </c>
      <c r="J10" s="82">
        <f>IRR(J2:J8)</f>
        <v>0.10937706957788662</v>
      </c>
    </row>
    <row r="11" spans="1:10" x14ac:dyDescent="0.45">
      <c r="A11" s="28" t="s">
        <v>33</v>
      </c>
      <c r="B11" s="29"/>
      <c r="C11" s="28">
        <v>11000</v>
      </c>
      <c r="D11" s="28"/>
      <c r="E11" s="28">
        <v>8000</v>
      </c>
      <c r="G11" s="77"/>
      <c r="H11" s="78"/>
    </row>
    <row r="12" spans="1:10" x14ac:dyDescent="0.45">
      <c r="A12" s="28" t="s">
        <v>35</v>
      </c>
      <c r="B12" s="29"/>
      <c r="C12" s="28"/>
      <c r="D12" s="28"/>
      <c r="E12" s="28"/>
      <c r="G12" s="76"/>
      <c r="H12" s="76"/>
    </row>
    <row r="13" spans="1:10" ht="17.25" customHeight="1" x14ac:dyDescent="0.45">
      <c r="A13" s="28"/>
      <c r="B13" s="74"/>
      <c r="C13" s="75"/>
      <c r="D13" s="28"/>
      <c r="E13" s="28"/>
    </row>
    <row r="14" spans="1:10" x14ac:dyDescent="0.45">
      <c r="B14" s="74"/>
      <c r="C14" s="75"/>
    </row>
    <row r="15" spans="1:10" x14ac:dyDescent="0.45">
      <c r="B15" s="74"/>
      <c r="C15" s="75"/>
      <c r="F15" s="15"/>
    </row>
    <row r="16" spans="1:10" ht="19.5" customHeight="1" x14ac:dyDescent="0.45">
      <c r="B16" s="74"/>
      <c r="C16" s="69"/>
      <c r="G16" s="66"/>
      <c r="H16" s="66"/>
    </row>
    <row r="17" spans="2:8" ht="19.5" customHeight="1" x14ac:dyDescent="0.45">
      <c r="B17" s="74"/>
      <c r="C17" s="69"/>
      <c r="G17" s="51"/>
      <c r="H17" s="5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E14"/>
  <sheetViews>
    <sheetView workbookViewId="0">
      <selection activeCell="A5" sqref="A5"/>
    </sheetView>
  </sheetViews>
  <sheetFormatPr defaultColWidth="9.1796875" defaultRowHeight="18.5" x14ac:dyDescent="0.45"/>
  <cols>
    <col min="1" max="1" width="45.1796875" style="1" customWidth="1"/>
    <col min="2" max="16384" width="9.1796875" style="1"/>
  </cols>
  <sheetData>
    <row r="1" spans="1:5" x14ac:dyDescent="0.45">
      <c r="A1" s="25"/>
      <c r="B1" s="26"/>
      <c r="C1" s="27" t="s">
        <v>1</v>
      </c>
      <c r="D1" s="27"/>
      <c r="E1" s="27" t="s">
        <v>2</v>
      </c>
    </row>
    <row r="2" spans="1:5" x14ac:dyDescent="0.45">
      <c r="A2" s="28" t="s">
        <v>19</v>
      </c>
      <c r="B2" s="26"/>
      <c r="C2" s="28">
        <v>20000</v>
      </c>
      <c r="D2" s="28"/>
      <c r="E2" s="29">
        <v>30000</v>
      </c>
    </row>
    <row r="3" spans="1:5" x14ac:dyDescent="0.45">
      <c r="A3" s="28" t="s">
        <v>23</v>
      </c>
      <c r="B3" s="26"/>
      <c r="C3" s="28" t="s">
        <v>22</v>
      </c>
      <c r="D3" s="28"/>
      <c r="E3" s="28" t="s">
        <v>25</v>
      </c>
    </row>
    <row r="4" spans="1:5" x14ac:dyDescent="0.45">
      <c r="A4" s="28" t="s">
        <v>41</v>
      </c>
      <c r="B4" s="26"/>
      <c r="C4" s="28">
        <v>4000</v>
      </c>
      <c r="D4" s="28"/>
      <c r="E4" s="28">
        <v>6000</v>
      </c>
    </row>
    <row r="5" spans="1:5" x14ac:dyDescent="0.45">
      <c r="A5" s="28" t="s">
        <v>42</v>
      </c>
      <c r="B5" s="26"/>
      <c r="C5" s="28">
        <v>14000</v>
      </c>
      <c r="D5" s="28"/>
      <c r="E5" s="28">
        <v>18000</v>
      </c>
    </row>
    <row r="6" spans="1:5" x14ac:dyDescent="0.45">
      <c r="A6" s="28" t="s">
        <v>27</v>
      </c>
      <c r="B6" s="26"/>
      <c r="C6" s="28">
        <v>6000</v>
      </c>
      <c r="D6" s="28"/>
      <c r="E6" s="28">
        <v>7000</v>
      </c>
    </row>
    <row r="7" spans="1:5" x14ac:dyDescent="0.45">
      <c r="A7" s="28" t="s">
        <v>29</v>
      </c>
      <c r="B7" s="26"/>
      <c r="C7" s="28" t="s">
        <v>38</v>
      </c>
      <c r="D7" s="28"/>
      <c r="E7" s="28" t="s">
        <v>38</v>
      </c>
    </row>
    <row r="8" spans="1:5" x14ac:dyDescent="0.45">
      <c r="A8" s="28" t="s">
        <v>30</v>
      </c>
      <c r="B8" s="26"/>
      <c r="C8" s="28">
        <v>22000</v>
      </c>
      <c r="D8" s="28"/>
      <c r="E8" s="28">
        <v>35000</v>
      </c>
    </row>
    <row r="9" spans="1:5" x14ac:dyDescent="0.45">
      <c r="A9" s="28" t="s">
        <v>43</v>
      </c>
      <c r="B9" s="26"/>
      <c r="C9" s="28">
        <v>17000</v>
      </c>
      <c r="D9" s="28"/>
      <c r="E9" s="28"/>
    </row>
    <row r="10" spans="1:5" x14ac:dyDescent="0.45">
      <c r="A10" s="28" t="s">
        <v>32</v>
      </c>
      <c r="B10" s="26"/>
      <c r="C10" s="28">
        <v>7000</v>
      </c>
      <c r="D10" s="28"/>
      <c r="E10" s="28"/>
    </row>
    <row r="11" spans="1:5" x14ac:dyDescent="0.45">
      <c r="A11" s="28" t="s">
        <v>44</v>
      </c>
      <c r="B11" s="26"/>
      <c r="C11" s="28"/>
      <c r="D11" s="28"/>
      <c r="E11" s="28">
        <v>22000</v>
      </c>
    </row>
    <row r="12" spans="1:5" x14ac:dyDescent="0.45">
      <c r="A12" s="28" t="s">
        <v>39</v>
      </c>
      <c r="B12" s="26"/>
      <c r="C12" s="28"/>
      <c r="D12" s="28"/>
      <c r="E12" s="28">
        <v>8000</v>
      </c>
    </row>
    <row r="13" spans="1:5" x14ac:dyDescent="0.45">
      <c r="A13" s="28" t="s">
        <v>40</v>
      </c>
      <c r="B13" s="26"/>
      <c r="C13" s="28">
        <v>10000</v>
      </c>
      <c r="D13" s="28"/>
      <c r="E13" s="28">
        <v>20000</v>
      </c>
    </row>
    <row r="14" spans="1:5" x14ac:dyDescent="0.45">
      <c r="A14" s="28" t="s">
        <v>36</v>
      </c>
      <c r="B14" s="26"/>
      <c r="C14" s="28"/>
      <c r="D14" s="28"/>
      <c r="E14" s="28"/>
    </row>
  </sheetData>
  <printOptions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</sheetPr>
  <dimension ref="A1:C13"/>
  <sheetViews>
    <sheetView workbookViewId="0">
      <selection activeCell="C15" sqref="C15"/>
    </sheetView>
  </sheetViews>
  <sheetFormatPr defaultColWidth="9.1796875" defaultRowHeight="17.5" x14ac:dyDescent="0.35"/>
  <cols>
    <col min="1" max="1" width="14.1796875" style="49" customWidth="1"/>
    <col min="2" max="2" width="19.26953125" style="49" customWidth="1"/>
    <col min="3" max="3" width="37.1796875" style="49" customWidth="1"/>
    <col min="4" max="16384" width="9.1796875" style="49"/>
  </cols>
  <sheetData>
    <row r="1" spans="1:3" ht="18" x14ac:dyDescent="0.4">
      <c r="A1" s="49">
        <v>20000</v>
      </c>
      <c r="B1" s="49">
        <v>30000</v>
      </c>
      <c r="C1" s="48" t="s">
        <v>47</v>
      </c>
    </row>
    <row r="2" spans="1:3" x14ac:dyDescent="0.35">
      <c r="A2" s="49" t="s">
        <v>6</v>
      </c>
      <c r="B2" s="49" t="s">
        <v>7</v>
      </c>
      <c r="C2" s="49" t="s">
        <v>48</v>
      </c>
    </row>
    <row r="3" spans="1:3" x14ac:dyDescent="0.35">
      <c r="A3" s="49">
        <v>2000</v>
      </c>
      <c r="B3" s="49">
        <v>3000</v>
      </c>
      <c r="C3" s="49" t="s">
        <v>49</v>
      </c>
    </row>
    <row r="4" spans="1:3" x14ac:dyDescent="0.35">
      <c r="A4" s="49">
        <v>12000</v>
      </c>
      <c r="B4" s="49">
        <v>16000</v>
      </c>
      <c r="C4" s="49" t="s">
        <v>50</v>
      </c>
    </row>
    <row r="5" spans="1:3" x14ac:dyDescent="0.35">
      <c r="A5" s="49">
        <v>5000</v>
      </c>
      <c r="B5" s="49">
        <v>9000</v>
      </c>
      <c r="C5" s="49" t="s">
        <v>51</v>
      </c>
    </row>
    <row r="6" spans="1:3" ht="18" x14ac:dyDescent="0.4">
      <c r="A6" s="83">
        <v>0.15</v>
      </c>
      <c r="B6" s="83">
        <v>0.15</v>
      </c>
      <c r="C6" s="48" t="s">
        <v>52</v>
      </c>
    </row>
    <row r="7" spans="1:3" ht="18" x14ac:dyDescent="0.4">
      <c r="A7" s="49" t="s">
        <v>53</v>
      </c>
      <c r="B7" s="49" t="s">
        <v>53</v>
      </c>
      <c r="C7" s="48" t="s">
        <v>54</v>
      </c>
    </row>
    <row r="8" spans="1:3" ht="18" x14ac:dyDescent="0.4">
      <c r="A8" s="49">
        <v>23000</v>
      </c>
      <c r="B8" s="49">
        <v>35000</v>
      </c>
      <c r="C8" s="48" t="s">
        <v>55</v>
      </c>
    </row>
    <row r="9" spans="1:3" x14ac:dyDescent="0.35">
      <c r="A9" s="49">
        <v>15000</v>
      </c>
      <c r="C9" s="49" t="s">
        <v>56</v>
      </c>
    </row>
    <row r="10" spans="1:3" x14ac:dyDescent="0.35">
      <c r="A10" s="49">
        <v>6000</v>
      </c>
      <c r="C10" s="49" t="s">
        <v>57</v>
      </c>
    </row>
    <row r="11" spans="1:3" x14ac:dyDescent="0.35">
      <c r="B11" s="49">
        <v>20000</v>
      </c>
      <c r="C11" s="49" t="s">
        <v>58</v>
      </c>
    </row>
    <row r="12" spans="1:3" x14ac:dyDescent="0.35">
      <c r="B12" s="49">
        <v>10500</v>
      </c>
      <c r="C12" s="49" t="s">
        <v>59</v>
      </c>
    </row>
    <row r="13" spans="1:3" x14ac:dyDescent="0.35">
      <c r="A13" s="49">
        <v>3000</v>
      </c>
      <c r="B13" s="49">
        <v>10000</v>
      </c>
      <c r="C13" s="49" t="s">
        <v>60</v>
      </c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F0"/>
  </sheetPr>
  <dimension ref="A1:E14"/>
  <sheetViews>
    <sheetView workbookViewId="0">
      <selection activeCell="D6" sqref="D6"/>
    </sheetView>
  </sheetViews>
  <sheetFormatPr defaultColWidth="9.1796875" defaultRowHeight="18.5" x14ac:dyDescent="0.45"/>
  <cols>
    <col min="1" max="1" width="8.81640625" style="1" customWidth="1"/>
    <col min="2" max="2" width="9.1796875" style="1"/>
    <col min="3" max="3" width="11.453125" style="1" customWidth="1"/>
    <col min="4" max="4" width="10.81640625" style="1" customWidth="1"/>
    <col min="5" max="5" width="63.1796875" style="1" customWidth="1"/>
    <col min="6" max="16384" width="9.1796875" style="1"/>
  </cols>
  <sheetData>
    <row r="1" spans="1:5" x14ac:dyDescent="0.45">
      <c r="A1" s="1">
        <v>20000</v>
      </c>
      <c r="B1" s="1">
        <v>30000</v>
      </c>
      <c r="C1" s="1">
        <v>35000</v>
      </c>
      <c r="D1" s="1">
        <v>43000</v>
      </c>
      <c r="E1" s="48" t="s">
        <v>47</v>
      </c>
    </row>
    <row r="2" spans="1:5" x14ac:dyDescent="0.45">
      <c r="A2" s="1" t="s">
        <v>7</v>
      </c>
      <c r="B2" s="1" t="s">
        <v>61</v>
      </c>
      <c r="C2" s="1" t="s">
        <v>7</v>
      </c>
      <c r="D2" s="1" t="s">
        <v>7</v>
      </c>
      <c r="E2" s="49" t="s">
        <v>48</v>
      </c>
    </row>
    <row r="3" spans="1:5" x14ac:dyDescent="0.45">
      <c r="A3" s="1">
        <v>4000</v>
      </c>
      <c r="B3" s="1">
        <v>0</v>
      </c>
      <c r="C3" s="1">
        <v>4000</v>
      </c>
      <c r="D3" s="1">
        <v>5000</v>
      </c>
      <c r="E3" s="49" t="s">
        <v>49</v>
      </c>
    </row>
    <row r="4" spans="1:5" x14ac:dyDescent="0.45">
      <c r="A4" s="1">
        <v>10000</v>
      </c>
      <c r="B4" s="1">
        <v>14000</v>
      </c>
      <c r="C4" s="1">
        <v>20000</v>
      </c>
      <c r="D4" s="1">
        <v>18000</v>
      </c>
      <c r="E4" s="49" t="s">
        <v>50</v>
      </c>
    </row>
    <row r="5" spans="1:5" x14ac:dyDescent="0.45">
      <c r="A5" s="1">
        <v>4400</v>
      </c>
      <c r="B5" s="1">
        <v>8500</v>
      </c>
      <c r="C5" s="1">
        <v>9400</v>
      </c>
      <c r="D5" s="1">
        <v>5250</v>
      </c>
      <c r="E5" s="49" t="s">
        <v>51</v>
      </c>
    </row>
    <row r="6" spans="1:5" x14ac:dyDescent="0.45">
      <c r="E6" s="48" t="s">
        <v>52</v>
      </c>
    </row>
    <row r="7" spans="1:5" x14ac:dyDescent="0.45">
      <c r="A7" s="1" t="s">
        <v>62</v>
      </c>
      <c r="B7" s="1" t="s">
        <v>62</v>
      </c>
      <c r="C7" s="1" t="s">
        <v>62</v>
      </c>
      <c r="D7" s="1" t="s">
        <v>62</v>
      </c>
      <c r="E7" s="48" t="s">
        <v>54</v>
      </c>
    </row>
    <row r="8" spans="1:5" x14ac:dyDescent="0.45">
      <c r="A8" s="1">
        <f>A1*1.1</f>
        <v>22000</v>
      </c>
      <c r="C8" s="1">
        <f t="shared" ref="C8:D8" si="0">C1*1.1</f>
        <v>38500</v>
      </c>
      <c r="D8" s="1">
        <f t="shared" si="0"/>
        <v>47300.000000000007</v>
      </c>
      <c r="E8" s="48" t="s">
        <v>55</v>
      </c>
    </row>
    <row r="9" spans="1:5" x14ac:dyDescent="0.45">
      <c r="A9" s="1">
        <f>A4*1.2</f>
        <v>12000</v>
      </c>
      <c r="C9" s="1">
        <f t="shared" ref="C9:D9" si="1">C4*1.2</f>
        <v>24000</v>
      </c>
      <c r="D9" s="1">
        <f t="shared" si="1"/>
        <v>21600</v>
      </c>
      <c r="E9" s="49" t="s">
        <v>63</v>
      </c>
    </row>
    <row r="10" spans="1:5" x14ac:dyDescent="0.45">
      <c r="A10" s="1">
        <f>A5*1.1</f>
        <v>4840</v>
      </c>
      <c r="C10" s="1">
        <f t="shared" ref="C10:D10" si="2">C5*1.1</f>
        <v>10340</v>
      </c>
      <c r="D10" s="1">
        <f t="shared" si="2"/>
        <v>5775.0000000000009</v>
      </c>
      <c r="E10" s="49" t="s">
        <v>64</v>
      </c>
    </row>
    <row r="11" spans="1:5" x14ac:dyDescent="0.45">
      <c r="E11" s="49"/>
    </row>
    <row r="12" spans="1:5" x14ac:dyDescent="0.45">
      <c r="E12" s="49"/>
    </row>
    <row r="13" spans="1:5" x14ac:dyDescent="0.45">
      <c r="A13" s="1">
        <f>A3*1.1</f>
        <v>4400</v>
      </c>
      <c r="C13" s="1">
        <f t="shared" ref="C13:D13" si="3">C3*1.1</f>
        <v>4400</v>
      </c>
      <c r="D13" s="1">
        <f t="shared" si="3"/>
        <v>5500</v>
      </c>
      <c r="E13" s="49" t="s">
        <v>60</v>
      </c>
    </row>
    <row r="14" spans="1:5" x14ac:dyDescent="0.45">
      <c r="B14" s="1">
        <v>10000</v>
      </c>
      <c r="E14" s="49" t="s">
        <v>65</v>
      </c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9"/>
  <sheetViews>
    <sheetView workbookViewId="0">
      <selection activeCell="C5" sqref="C5"/>
    </sheetView>
  </sheetViews>
  <sheetFormatPr defaultColWidth="9.1796875" defaultRowHeight="18.5" x14ac:dyDescent="0.45"/>
  <cols>
    <col min="1" max="1" width="9.1796875" style="1"/>
    <col min="2" max="2" width="17.54296875" style="1" customWidth="1"/>
    <col min="3" max="3" width="33.81640625" style="1" customWidth="1"/>
    <col min="4" max="5" width="9.1796875" style="1"/>
    <col min="6" max="6" width="15.81640625" style="1" customWidth="1"/>
    <col min="7" max="16384" width="9.1796875" style="1"/>
  </cols>
  <sheetData>
    <row r="1" spans="1:6" x14ac:dyDescent="0.45">
      <c r="A1" s="1" t="s">
        <v>66</v>
      </c>
      <c r="B1" s="1" t="s">
        <v>67</v>
      </c>
    </row>
    <row r="2" spans="1:6" x14ac:dyDescent="0.45">
      <c r="A2" s="1">
        <v>0</v>
      </c>
      <c r="B2" s="1">
        <v>19000000</v>
      </c>
      <c r="C2" s="1" t="s">
        <v>68</v>
      </c>
      <c r="F2" s="1">
        <f>B2</f>
        <v>19000000</v>
      </c>
    </row>
    <row r="3" spans="1:6" x14ac:dyDescent="0.45">
      <c r="A3" s="1">
        <v>1</v>
      </c>
      <c r="B3" s="1">
        <v>10000000</v>
      </c>
      <c r="C3" s="1" t="s">
        <v>156</v>
      </c>
      <c r="F3" s="1">
        <f t="shared" ref="F3:F7" si="0">B3</f>
        <v>10000000</v>
      </c>
    </row>
    <row r="4" spans="1:6" x14ac:dyDescent="0.45">
      <c r="A4" s="1">
        <v>2</v>
      </c>
      <c r="B4" s="1">
        <v>-50000000</v>
      </c>
      <c r="C4" s="1" t="s">
        <v>228</v>
      </c>
      <c r="F4" s="1">
        <f t="shared" si="0"/>
        <v>-50000000</v>
      </c>
    </row>
    <row r="5" spans="1:6" x14ac:dyDescent="0.45">
      <c r="A5" s="1">
        <v>3</v>
      </c>
      <c r="B5" s="1">
        <v>-50000000</v>
      </c>
      <c r="C5" s="1" t="s">
        <v>228</v>
      </c>
      <c r="F5" s="1">
        <f t="shared" si="0"/>
        <v>-50000000</v>
      </c>
    </row>
    <row r="6" spans="1:6" x14ac:dyDescent="0.45">
      <c r="A6" s="1">
        <v>4</v>
      </c>
      <c r="B6" s="1">
        <v>20000000</v>
      </c>
      <c r="C6" s="1" t="s">
        <v>157</v>
      </c>
      <c r="F6" s="1">
        <f t="shared" si="0"/>
        <v>20000000</v>
      </c>
    </row>
    <row r="7" spans="1:6" x14ac:dyDescent="0.45">
      <c r="A7" s="1">
        <v>5</v>
      </c>
      <c r="B7" s="1">
        <v>60000000</v>
      </c>
      <c r="C7" s="1" t="s">
        <v>69</v>
      </c>
      <c r="F7" s="1">
        <f t="shared" si="0"/>
        <v>60000000</v>
      </c>
    </row>
    <row r="8" spans="1:6" x14ac:dyDescent="0.45">
      <c r="C8" s="1" t="s">
        <v>70</v>
      </c>
      <c r="F8" s="24"/>
    </row>
    <row r="9" spans="1:6" x14ac:dyDescent="0.45">
      <c r="C9" s="1" t="s">
        <v>71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7F900-FF6A-46E1-A912-01C254066D37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12"/>
  <sheetViews>
    <sheetView workbookViewId="0">
      <selection activeCell="B10" sqref="B10"/>
    </sheetView>
  </sheetViews>
  <sheetFormatPr defaultColWidth="9.1796875" defaultRowHeight="21" x14ac:dyDescent="0.5"/>
  <cols>
    <col min="1" max="1" width="68.81640625" style="7" customWidth="1"/>
    <col min="2" max="2" width="9.1796875" style="7"/>
    <col min="3" max="3" width="18.26953125" style="7" customWidth="1"/>
    <col min="4" max="4" width="18.54296875" style="7" customWidth="1"/>
    <col min="5" max="16384" width="9.1796875" style="7"/>
  </cols>
  <sheetData>
    <row r="1" spans="1:4" x14ac:dyDescent="0.5">
      <c r="A1" s="6" t="s">
        <v>72</v>
      </c>
      <c r="C1" s="37" t="s">
        <v>209</v>
      </c>
      <c r="D1" s="7" t="s">
        <v>128</v>
      </c>
    </row>
    <row r="2" spans="1:4" x14ac:dyDescent="0.5">
      <c r="A2" s="7" t="s">
        <v>126</v>
      </c>
      <c r="B2" s="7">
        <v>4000</v>
      </c>
      <c r="C2" s="7" t="s">
        <v>222</v>
      </c>
    </row>
    <row r="3" spans="1:4" x14ac:dyDescent="0.5">
      <c r="A3" s="7" t="s">
        <v>73</v>
      </c>
      <c r="B3" s="7" t="s">
        <v>61</v>
      </c>
    </row>
    <row r="4" spans="1:4" x14ac:dyDescent="0.5">
      <c r="A4" s="7" t="s">
        <v>74</v>
      </c>
      <c r="B4" s="7">
        <v>0</v>
      </c>
    </row>
    <row r="5" spans="1:4" x14ac:dyDescent="0.5">
      <c r="A5" s="7" t="s">
        <v>221</v>
      </c>
      <c r="B5" s="7">
        <v>2000</v>
      </c>
    </row>
    <row r="6" spans="1:4" x14ac:dyDescent="0.5">
      <c r="A6" s="7" t="s">
        <v>75</v>
      </c>
      <c r="B6" s="7">
        <v>300</v>
      </c>
    </row>
    <row r="7" spans="1:4" x14ac:dyDescent="0.5">
      <c r="A7" s="7" t="s">
        <v>127</v>
      </c>
      <c r="B7" s="7">
        <v>6000</v>
      </c>
      <c r="C7" s="7" t="s">
        <v>223</v>
      </c>
    </row>
    <row r="8" spans="1:4" x14ac:dyDescent="0.5">
      <c r="A8" s="7" t="s">
        <v>73</v>
      </c>
      <c r="B8" s="7" t="s">
        <v>7</v>
      </c>
    </row>
    <row r="9" spans="1:4" x14ac:dyDescent="0.5">
      <c r="A9" s="7" t="s">
        <v>224</v>
      </c>
      <c r="B9" s="7">
        <v>500</v>
      </c>
    </row>
    <row r="10" spans="1:4" x14ac:dyDescent="0.5">
      <c r="A10" s="7" t="s">
        <v>225</v>
      </c>
      <c r="B10" s="7">
        <v>1200</v>
      </c>
    </row>
    <row r="11" spans="1:4" x14ac:dyDescent="0.5">
      <c r="A11" s="7" t="s">
        <v>76</v>
      </c>
    </row>
    <row r="12" spans="1:4" x14ac:dyDescent="0.5">
      <c r="A12" s="7" t="s">
        <v>226</v>
      </c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C00000"/>
  </sheetPr>
  <dimension ref="A1:E8"/>
  <sheetViews>
    <sheetView workbookViewId="0">
      <selection activeCell="B6" sqref="B6"/>
    </sheetView>
  </sheetViews>
  <sheetFormatPr defaultColWidth="9.1796875" defaultRowHeight="21" x14ac:dyDescent="0.5"/>
  <cols>
    <col min="1" max="1" width="22.54296875" style="7" customWidth="1"/>
    <col min="2" max="2" width="12.81640625" style="7" customWidth="1"/>
    <col min="3" max="4" width="9.1796875" style="7"/>
    <col min="5" max="5" width="9.1796875" style="7" customWidth="1"/>
    <col min="6" max="16384" width="9.1796875" style="7"/>
  </cols>
  <sheetData>
    <row r="1" spans="1:5" x14ac:dyDescent="0.5">
      <c r="A1" s="30" t="s">
        <v>122</v>
      </c>
      <c r="B1" s="31">
        <v>40000</v>
      </c>
    </row>
    <row r="2" spans="1:5" x14ac:dyDescent="0.5">
      <c r="A2" s="30" t="s">
        <v>94</v>
      </c>
      <c r="B2" s="32">
        <v>9.5000000000000001E-2</v>
      </c>
      <c r="C2" s="7">
        <v>9.5000000000000001E-2</v>
      </c>
      <c r="E2" s="7">
        <f>C2/(1-(1/C2^5))</f>
        <v>-7.3509757866993579E-7</v>
      </c>
    </row>
    <row r="3" spans="1:5" x14ac:dyDescent="0.5">
      <c r="A3" s="33" t="s">
        <v>123</v>
      </c>
      <c r="B3" s="34">
        <v>8000</v>
      </c>
    </row>
    <row r="4" spans="1:5" x14ac:dyDescent="0.5">
      <c r="A4" s="30"/>
      <c r="B4" s="31"/>
    </row>
    <row r="5" spans="1:5" x14ac:dyDescent="0.5">
      <c r="A5" s="30" t="s">
        <v>124</v>
      </c>
      <c r="B5" s="31">
        <v>7500</v>
      </c>
    </row>
    <row r="6" spans="1:5" x14ac:dyDescent="0.5">
      <c r="A6" s="30"/>
      <c r="B6" s="31"/>
    </row>
    <row r="7" spans="1:5" x14ac:dyDescent="0.5">
      <c r="A7" s="35" t="s">
        <v>52</v>
      </c>
      <c r="B7" s="36">
        <f>0.095+0.03+0.025</f>
        <v>0.15</v>
      </c>
    </row>
    <row r="8" spans="1:5" x14ac:dyDescent="0.5">
      <c r="A8" s="30" t="s">
        <v>125</v>
      </c>
      <c r="B8" s="31">
        <v>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0000"/>
  </sheetPr>
  <dimension ref="A1:K14"/>
  <sheetViews>
    <sheetView zoomScale="145" zoomScaleNormal="145" workbookViewId="0">
      <selection activeCell="J3" sqref="J3:J7"/>
    </sheetView>
  </sheetViews>
  <sheetFormatPr defaultColWidth="11.54296875" defaultRowHeight="14.5" x14ac:dyDescent="0.35"/>
  <cols>
    <col min="1" max="1" width="7.54296875" style="5" customWidth="1"/>
    <col min="2" max="3" width="13.26953125" style="5" bestFit="1" customWidth="1"/>
    <col min="4" max="16384" width="11.54296875" style="5"/>
  </cols>
  <sheetData>
    <row r="1" spans="1:11" s="8" customFormat="1" x14ac:dyDescent="0.35">
      <c r="A1" s="8" t="s">
        <v>77</v>
      </c>
      <c r="B1" s="8" t="s">
        <v>78</v>
      </c>
      <c r="C1" s="84" t="s">
        <v>88</v>
      </c>
      <c r="D1" s="84" t="s">
        <v>80</v>
      </c>
      <c r="E1" s="84" t="s">
        <v>81</v>
      </c>
      <c r="F1" s="8" t="s">
        <v>82</v>
      </c>
      <c r="G1" s="8" t="s">
        <v>89</v>
      </c>
      <c r="H1" s="8" t="s">
        <v>90</v>
      </c>
      <c r="I1" s="8" t="s">
        <v>91</v>
      </c>
      <c r="J1" s="8" t="s">
        <v>92</v>
      </c>
      <c r="K1" s="8" t="s">
        <v>93</v>
      </c>
    </row>
    <row r="2" spans="1:11" s="9" customFormat="1" ht="43.5" x14ac:dyDescent="0.35">
      <c r="A2" s="9" t="s">
        <v>83</v>
      </c>
      <c r="B2" s="9" t="s">
        <v>84</v>
      </c>
      <c r="C2" s="85" t="s">
        <v>94</v>
      </c>
      <c r="D2" s="85" t="s">
        <v>95</v>
      </c>
      <c r="E2" s="86" t="s">
        <v>96</v>
      </c>
      <c r="F2" s="9" t="s">
        <v>97</v>
      </c>
      <c r="G2" s="9" t="s">
        <v>98</v>
      </c>
      <c r="H2" s="9" t="s">
        <v>85</v>
      </c>
      <c r="I2" s="10" t="s">
        <v>99</v>
      </c>
      <c r="J2" s="9" t="s">
        <v>87</v>
      </c>
      <c r="K2" s="9" t="s">
        <v>15</v>
      </c>
    </row>
    <row r="3" spans="1:11" x14ac:dyDescent="0.35">
      <c r="A3" s="5">
        <v>1</v>
      </c>
      <c r="B3" s="11">
        <v>10417</v>
      </c>
      <c r="C3" s="12">
        <f>40000*0.095</f>
        <v>3800</v>
      </c>
      <c r="D3" s="12">
        <f>B3-C3</f>
        <v>6617</v>
      </c>
      <c r="E3" s="12">
        <f>40000-D3</f>
        <v>33383</v>
      </c>
      <c r="F3" s="5">
        <f>8000</f>
        <v>8000</v>
      </c>
      <c r="G3" s="12">
        <f>C3+F3</f>
        <v>11800</v>
      </c>
      <c r="H3" s="12">
        <f>G3*0.1</f>
        <v>1180</v>
      </c>
      <c r="I3" s="11">
        <f>B3-H3</f>
        <v>9237</v>
      </c>
      <c r="J3" s="11">
        <f>1.15^(-1)</f>
        <v>0.86956521739130443</v>
      </c>
      <c r="K3" s="11">
        <f>I3*J3</f>
        <v>8032.1739130434789</v>
      </c>
    </row>
    <row r="4" spans="1:11" x14ac:dyDescent="0.35">
      <c r="A4" s="5">
        <v>2</v>
      </c>
      <c r="B4" s="11">
        <v>10417</v>
      </c>
      <c r="C4" s="12">
        <f>E3*0.095</f>
        <v>3171.3850000000002</v>
      </c>
      <c r="D4" s="12">
        <f>B4-C4</f>
        <v>7245.6149999999998</v>
      </c>
      <c r="E4" s="12">
        <f>E3-D4</f>
        <v>26137.385000000002</v>
      </c>
      <c r="F4" s="5">
        <f>8000</f>
        <v>8000</v>
      </c>
      <c r="G4" s="12">
        <f t="shared" ref="G4:G7" si="0">C4+F4</f>
        <v>11171.385</v>
      </c>
      <c r="H4" s="12">
        <f t="shared" ref="H4:H7" si="1">G4*0.1</f>
        <v>1117.1385</v>
      </c>
      <c r="I4" s="11">
        <f t="shared" ref="I4:I7" si="2">B4-H4</f>
        <v>9299.8614999999991</v>
      </c>
      <c r="J4" s="11">
        <f>1.15^(-2)</f>
        <v>0.7561436672967865</v>
      </c>
      <c r="K4" s="11">
        <f>I4*J4</f>
        <v>7032.0313799621936</v>
      </c>
    </row>
    <row r="5" spans="1:11" x14ac:dyDescent="0.35">
      <c r="A5" s="5">
        <v>3</v>
      </c>
      <c r="B5" s="11">
        <v>10417</v>
      </c>
      <c r="C5" s="12">
        <f t="shared" ref="C5:C7" si="3">E4*0.095</f>
        <v>2483.0515750000004</v>
      </c>
      <c r="D5" s="12">
        <f t="shared" ref="D5:D7" si="4">B5-C5</f>
        <v>7933.9484249999996</v>
      </c>
      <c r="E5" s="11">
        <f>E4-D5</f>
        <v>18203.436575000003</v>
      </c>
      <c r="F5" s="5">
        <f>8000</f>
        <v>8000</v>
      </c>
      <c r="G5" s="12">
        <f t="shared" si="0"/>
        <v>10483.051575000001</v>
      </c>
      <c r="H5" s="12">
        <f t="shared" si="1"/>
        <v>1048.3051575000002</v>
      </c>
      <c r="I5" s="11">
        <f t="shared" si="2"/>
        <v>9368.6948424999991</v>
      </c>
      <c r="J5" s="11">
        <f>1.15^(-3)</f>
        <v>0.65751623243198831</v>
      </c>
      <c r="K5" s="11">
        <f t="shared" ref="K5:K7" si="5">I5*J5</f>
        <v>6160.0689356455996</v>
      </c>
    </row>
    <row r="6" spans="1:11" x14ac:dyDescent="0.35">
      <c r="A6" s="5">
        <v>4</v>
      </c>
      <c r="B6" s="11">
        <v>10417</v>
      </c>
      <c r="C6" s="12">
        <f t="shared" si="3"/>
        <v>1729.3264746250004</v>
      </c>
      <c r="D6" s="12">
        <f t="shared" si="4"/>
        <v>8687.6735253749994</v>
      </c>
      <c r="E6" s="11">
        <f>E5-D6</f>
        <v>9515.763049625004</v>
      </c>
      <c r="F6" s="5">
        <f>8000</f>
        <v>8000</v>
      </c>
      <c r="G6" s="12">
        <f t="shared" si="0"/>
        <v>9729.3264746250006</v>
      </c>
      <c r="H6" s="12">
        <f t="shared" si="1"/>
        <v>972.93264746250009</v>
      </c>
      <c r="I6" s="11">
        <f t="shared" si="2"/>
        <v>9444.0673525375005</v>
      </c>
      <c r="J6" s="11">
        <f>1.15^(-4)</f>
        <v>0.57175324559303342</v>
      </c>
      <c r="K6" s="11">
        <f t="shared" si="5"/>
        <v>5399.6761604125222</v>
      </c>
    </row>
    <row r="7" spans="1:11" x14ac:dyDescent="0.35">
      <c r="A7" s="5">
        <v>5</v>
      </c>
      <c r="B7" s="11">
        <v>10417</v>
      </c>
      <c r="C7" s="12">
        <f t="shared" si="3"/>
        <v>903.99748971437543</v>
      </c>
      <c r="D7" s="12">
        <f t="shared" si="4"/>
        <v>9513.0025102856252</v>
      </c>
      <c r="E7" s="11">
        <f>E6-D7</f>
        <v>2.7605393393787381</v>
      </c>
      <c r="F7" s="5">
        <f>8000</f>
        <v>8000</v>
      </c>
      <c r="G7" s="12">
        <f t="shared" si="0"/>
        <v>8903.9974897143748</v>
      </c>
      <c r="H7" s="12">
        <f t="shared" si="1"/>
        <v>890.39974897143748</v>
      </c>
      <c r="I7" s="11">
        <f t="shared" si="2"/>
        <v>9526.6002510285616</v>
      </c>
      <c r="J7" s="11">
        <f>1.15^(-5)</f>
        <v>0.49717673529828987</v>
      </c>
      <c r="K7" s="11">
        <f t="shared" si="5"/>
        <v>4736.4040112982493</v>
      </c>
    </row>
    <row r="8" spans="1:11" x14ac:dyDescent="0.35">
      <c r="D8" s="11"/>
      <c r="K8" s="89">
        <f>SUM(K3:K7)</f>
        <v>31360.354400362041</v>
      </c>
    </row>
    <row r="9" spans="1:11" x14ac:dyDescent="0.35">
      <c r="I9" s="5" t="s">
        <v>227</v>
      </c>
      <c r="K9" s="87">
        <f>8000*J7</f>
        <v>3977.4138823863191</v>
      </c>
    </row>
    <row r="10" spans="1:11" x14ac:dyDescent="0.35">
      <c r="C10" s="5">
        <f>1.095^5</f>
        <v>1.574238740934375</v>
      </c>
      <c r="D10" s="5">
        <f>C10-1</f>
        <v>0.57423874093437499</v>
      </c>
      <c r="E10" s="5">
        <f>0.095*C10</f>
        <v>0.14955268038876562</v>
      </c>
      <c r="F10" s="5">
        <f>E10/D10</f>
        <v>0.26043641734345607</v>
      </c>
      <c r="K10" s="88">
        <f>SUM(K8:K9)</f>
        <v>35337.768282748359</v>
      </c>
    </row>
    <row r="11" spans="1:11" x14ac:dyDescent="0.35">
      <c r="B11" s="5" t="s">
        <v>100</v>
      </c>
      <c r="F11" s="12">
        <f>40000*0.095/(1-(1+0.095)^(-5))</f>
        <v>10417.456693738242</v>
      </c>
    </row>
    <row r="12" spans="1:11" s="14" customFormat="1" x14ac:dyDescent="0.35">
      <c r="A12" s="13">
        <v>9.5000000000000001E-2</v>
      </c>
      <c r="B12" s="13">
        <f>(1+A12)^5</f>
        <v>1.574238740934375</v>
      </c>
      <c r="C12" s="13">
        <f>A12*B12</f>
        <v>0.14955268038876562</v>
      </c>
      <c r="D12" s="13">
        <f>B12-1</f>
        <v>0.57423874093437499</v>
      </c>
      <c r="E12" s="13">
        <f>C12/D12</f>
        <v>0.26043641734345607</v>
      </c>
    </row>
    <row r="13" spans="1:11" x14ac:dyDescent="0.35">
      <c r="B13" s="5" t="s">
        <v>101</v>
      </c>
    </row>
    <row r="14" spans="1:11" x14ac:dyDescent="0.35">
      <c r="A14" s="5" t="s">
        <v>3</v>
      </c>
      <c r="B14" s="5" t="s">
        <v>102</v>
      </c>
    </row>
  </sheetData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B0F0"/>
  </sheetPr>
  <dimension ref="A1:F8"/>
  <sheetViews>
    <sheetView workbookViewId="0">
      <selection activeCell="B4" sqref="B4"/>
    </sheetView>
  </sheetViews>
  <sheetFormatPr defaultColWidth="29" defaultRowHeight="18.5" x14ac:dyDescent="0.45"/>
  <cols>
    <col min="1" max="1" width="12.54296875" style="1" customWidth="1"/>
    <col min="2" max="2" width="21.1796875" style="1" customWidth="1"/>
    <col min="3" max="3" width="22.26953125" style="1" customWidth="1"/>
    <col min="4" max="4" width="26.81640625" style="1" customWidth="1"/>
    <col min="5" max="5" width="17.7265625" style="1" customWidth="1"/>
    <col min="6" max="6" width="18.7265625" style="1" customWidth="1"/>
    <col min="7" max="16384" width="29" style="1"/>
  </cols>
  <sheetData>
    <row r="1" spans="1:6" x14ac:dyDescent="0.45">
      <c r="A1" s="20" t="s">
        <v>77</v>
      </c>
      <c r="B1" s="20" t="s">
        <v>78</v>
      </c>
      <c r="C1" s="20" t="s">
        <v>79</v>
      </c>
      <c r="D1" s="20" t="s">
        <v>80</v>
      </c>
      <c r="E1" s="20" t="s">
        <v>81</v>
      </c>
      <c r="F1" s="20" t="s">
        <v>82</v>
      </c>
    </row>
    <row r="2" spans="1:6" x14ac:dyDescent="0.45">
      <c r="A2" s="46" t="s">
        <v>83</v>
      </c>
      <c r="B2" s="46" t="s">
        <v>84</v>
      </c>
      <c r="C2" s="46" t="s">
        <v>85</v>
      </c>
      <c r="D2" s="46" t="s">
        <v>86</v>
      </c>
      <c r="E2" s="46" t="s">
        <v>87</v>
      </c>
      <c r="F2" s="46" t="s">
        <v>15</v>
      </c>
    </row>
    <row r="3" spans="1:6" x14ac:dyDescent="0.45">
      <c r="A3" s="1">
        <v>1</v>
      </c>
      <c r="B3" s="1">
        <v>7500</v>
      </c>
      <c r="C3" s="1">
        <f>$B$3*0.1</f>
        <v>750</v>
      </c>
      <c r="D3" s="1">
        <f>B3-C3</f>
        <v>6750</v>
      </c>
      <c r="E3" s="69">
        <f>1.15^(-1)</f>
        <v>0.86956521739130443</v>
      </c>
      <c r="F3" s="45">
        <f>D3*E3</f>
        <v>5869.5652173913049</v>
      </c>
    </row>
    <row r="4" spans="1:6" x14ac:dyDescent="0.45">
      <c r="A4" s="1">
        <v>2</v>
      </c>
      <c r="B4" s="1">
        <f>$B$3</f>
        <v>7500</v>
      </c>
      <c r="C4" s="1">
        <f t="shared" ref="C4:C7" si="0">$B$3*0.1</f>
        <v>750</v>
      </c>
      <c r="D4" s="1">
        <f t="shared" ref="D4:D7" si="1">B4-C4</f>
        <v>6750</v>
      </c>
      <c r="E4" s="69">
        <f>1.15^(-2)</f>
        <v>0.7561436672967865</v>
      </c>
      <c r="F4" s="45">
        <f t="shared" ref="F4:F7" si="2">D4*E4</f>
        <v>5103.9697542533086</v>
      </c>
    </row>
    <row r="5" spans="1:6" x14ac:dyDescent="0.45">
      <c r="A5" s="1">
        <v>3</v>
      </c>
      <c r="B5" s="1">
        <f t="shared" ref="B5:B7" si="3">$B$3</f>
        <v>7500</v>
      </c>
      <c r="C5" s="1">
        <f t="shared" si="0"/>
        <v>750</v>
      </c>
      <c r="D5" s="1">
        <f t="shared" si="1"/>
        <v>6750</v>
      </c>
      <c r="E5" s="69">
        <f>1.15^(-3)</f>
        <v>0.65751623243198831</v>
      </c>
      <c r="F5" s="45">
        <f t="shared" si="2"/>
        <v>4438.234568915921</v>
      </c>
    </row>
    <row r="6" spans="1:6" x14ac:dyDescent="0.45">
      <c r="A6" s="1">
        <v>4</v>
      </c>
      <c r="B6" s="1">
        <f t="shared" si="3"/>
        <v>7500</v>
      </c>
      <c r="C6" s="1">
        <f t="shared" si="0"/>
        <v>750</v>
      </c>
      <c r="D6" s="1">
        <f t="shared" si="1"/>
        <v>6750</v>
      </c>
      <c r="E6" s="69">
        <f>1.15^(-4)</f>
        <v>0.57175324559303342</v>
      </c>
      <c r="F6" s="45">
        <f t="shared" si="2"/>
        <v>3859.3344077529755</v>
      </c>
    </row>
    <row r="7" spans="1:6" x14ac:dyDescent="0.45">
      <c r="A7" s="1">
        <v>5</v>
      </c>
      <c r="B7" s="1">
        <f t="shared" si="3"/>
        <v>7500</v>
      </c>
      <c r="C7" s="1">
        <f t="shared" si="0"/>
        <v>750</v>
      </c>
      <c r="D7" s="1">
        <f t="shared" si="1"/>
        <v>6750</v>
      </c>
      <c r="E7" s="69">
        <f>1.15^(-5)</f>
        <v>0.49717673529828987</v>
      </c>
      <c r="F7" s="45">
        <f t="shared" si="2"/>
        <v>3355.9429632634565</v>
      </c>
    </row>
    <row r="8" spans="1:6" x14ac:dyDescent="0.45">
      <c r="F8" s="71">
        <f>SUM(F3:F7)</f>
        <v>22627.046911576967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N19"/>
  <sheetViews>
    <sheetView tabSelected="1" workbookViewId="0">
      <selection activeCell="F11" sqref="F11:F14"/>
    </sheetView>
  </sheetViews>
  <sheetFormatPr defaultColWidth="12.26953125" defaultRowHeight="18.5" x14ac:dyDescent="0.45"/>
  <cols>
    <col min="1" max="1" width="12.26953125" style="1"/>
    <col min="2" max="2" width="10.81640625" style="1" customWidth="1"/>
    <col min="3" max="3" width="9.1796875" style="1" customWidth="1"/>
    <col min="4" max="4" width="9.36328125" style="1" customWidth="1"/>
    <col min="5" max="5" width="10.7265625" style="1" customWidth="1"/>
    <col min="6" max="16384" width="12.26953125" style="1"/>
  </cols>
  <sheetData>
    <row r="1" spans="1:14" x14ac:dyDescent="0.45">
      <c r="A1" s="66" t="s">
        <v>289</v>
      </c>
      <c r="F1" s="64" t="s">
        <v>316</v>
      </c>
      <c r="G1" s="64" t="s">
        <v>317</v>
      </c>
      <c r="I1" s="1" t="s">
        <v>318</v>
      </c>
      <c r="K1" s="66" t="s">
        <v>319</v>
      </c>
      <c r="L1" s="1" t="s">
        <v>321</v>
      </c>
    </row>
    <row r="2" spans="1:14" x14ac:dyDescent="0.45">
      <c r="A2" s="127"/>
      <c r="B2" s="127" t="s">
        <v>281</v>
      </c>
      <c r="C2" s="127" t="s">
        <v>282</v>
      </c>
      <c r="D2" s="127" t="s">
        <v>283</v>
      </c>
      <c r="E2" s="127" t="s">
        <v>284</v>
      </c>
      <c r="J2" s="66" t="s">
        <v>322</v>
      </c>
      <c r="L2" s="1" t="s">
        <v>320</v>
      </c>
    </row>
    <row r="3" spans="1:14" x14ac:dyDescent="0.45">
      <c r="A3" s="127" t="s">
        <v>285</v>
      </c>
      <c r="B3" s="128">
        <v>770</v>
      </c>
      <c r="C3" s="128">
        <v>700</v>
      </c>
      <c r="D3" s="128">
        <v>620</v>
      </c>
      <c r="E3" s="128">
        <v>590</v>
      </c>
      <c r="F3" s="1">
        <f>E3</f>
        <v>590</v>
      </c>
      <c r="G3" s="1">
        <f>B3</f>
        <v>770</v>
      </c>
      <c r="I3" s="1">
        <v>590</v>
      </c>
      <c r="K3" s="66" t="s">
        <v>323</v>
      </c>
      <c r="L3" s="138" t="s">
        <v>324</v>
      </c>
      <c r="M3" s="138" t="s">
        <v>325</v>
      </c>
    </row>
    <row r="4" spans="1:14" x14ac:dyDescent="0.45">
      <c r="A4" s="127" t="s">
        <v>286</v>
      </c>
      <c r="B4" s="128">
        <v>700</v>
      </c>
      <c r="C4" s="128">
        <v>1000</v>
      </c>
      <c r="D4" s="128">
        <v>950</v>
      </c>
      <c r="E4" s="128">
        <v>770</v>
      </c>
      <c r="F4" s="1">
        <f>B4</f>
        <v>700</v>
      </c>
      <c r="G4" s="1">
        <f>C4</f>
        <v>1000</v>
      </c>
      <c r="I4" s="50">
        <v>700</v>
      </c>
      <c r="J4" s="50" t="s">
        <v>286</v>
      </c>
      <c r="K4" s="139">
        <v>0.5</v>
      </c>
      <c r="L4" s="136">
        <v>0.65</v>
      </c>
      <c r="M4" s="1">
        <v>0.35</v>
      </c>
      <c r="N4" s="66" t="s">
        <v>326</v>
      </c>
    </row>
    <row r="5" spans="1:14" x14ac:dyDescent="0.45">
      <c r="A5" s="127" t="s">
        <v>287</v>
      </c>
      <c r="B5" s="128">
        <v>90</v>
      </c>
      <c r="C5" s="128">
        <v>800</v>
      </c>
      <c r="D5" s="128">
        <v>1450</v>
      </c>
      <c r="E5" s="128">
        <v>1350</v>
      </c>
      <c r="F5" s="1">
        <f>B5</f>
        <v>90</v>
      </c>
      <c r="G5" s="1">
        <f>D5</f>
        <v>1450</v>
      </c>
      <c r="I5" s="1">
        <v>90</v>
      </c>
      <c r="K5" s="139">
        <v>0.5</v>
      </c>
      <c r="L5" s="136">
        <v>0.35</v>
      </c>
      <c r="M5" s="17">
        <v>0.65</v>
      </c>
      <c r="N5" s="66" t="s">
        <v>327</v>
      </c>
    </row>
    <row r="6" spans="1:14" x14ac:dyDescent="0.45">
      <c r="A6" s="127" t="s">
        <v>288</v>
      </c>
      <c r="B6" s="128">
        <v>-150</v>
      </c>
      <c r="C6" s="128">
        <v>450</v>
      </c>
      <c r="D6" s="128">
        <v>1150</v>
      </c>
      <c r="E6" s="128">
        <v>1650</v>
      </c>
      <c r="F6" s="1">
        <f>B6</f>
        <v>-150</v>
      </c>
      <c r="G6" s="1">
        <f>E6</f>
        <v>1650</v>
      </c>
      <c r="I6" s="1">
        <v>-150</v>
      </c>
    </row>
    <row r="7" spans="1:14" x14ac:dyDescent="0.45">
      <c r="J7" s="1" t="s">
        <v>328</v>
      </c>
      <c r="K7" s="1">
        <f>$L$4*F3+$L$5*G3</f>
        <v>653</v>
      </c>
    </row>
    <row r="8" spans="1:14" x14ac:dyDescent="0.45">
      <c r="A8" s="1" t="s">
        <v>329</v>
      </c>
      <c r="E8" s="1" t="s">
        <v>330</v>
      </c>
      <c r="K8" s="17">
        <f t="shared" ref="K8:K10" si="0">$L$4*F4+$L$5*G4</f>
        <v>805</v>
      </c>
      <c r="L8" s="50" t="s">
        <v>286</v>
      </c>
    </row>
    <row r="9" spans="1:14" x14ac:dyDescent="0.45">
      <c r="E9" s="1" t="s">
        <v>331</v>
      </c>
      <c r="K9" s="1">
        <f t="shared" si="0"/>
        <v>566</v>
      </c>
    </row>
    <row r="10" spans="1:14" x14ac:dyDescent="0.45">
      <c r="E10" s="66" t="s">
        <v>323</v>
      </c>
      <c r="F10" s="138" t="s">
        <v>324</v>
      </c>
      <c r="G10" s="138" t="s">
        <v>325</v>
      </c>
      <c r="K10" s="1">
        <f t="shared" si="0"/>
        <v>480</v>
      </c>
    </row>
    <row r="11" spans="1:14" x14ac:dyDescent="0.45">
      <c r="A11" s="1" t="s">
        <v>335</v>
      </c>
      <c r="B11" s="1">
        <f>$F$11*B3+$F$12*C3+$F$13*D3+$F$14*E3</f>
        <v>677.5</v>
      </c>
      <c r="E11" s="38">
        <v>0.25</v>
      </c>
      <c r="F11" s="136">
        <v>0.2</v>
      </c>
      <c r="G11" s="1">
        <v>0.15</v>
      </c>
      <c r="H11" s="1" t="s">
        <v>326</v>
      </c>
    </row>
    <row r="12" spans="1:14" x14ac:dyDescent="0.45">
      <c r="B12" s="1">
        <f t="shared" ref="B12:B14" si="1">$E$11*B4+$E$12*C4+$E$13*D4+$E$14*E4</f>
        <v>855</v>
      </c>
      <c r="E12" s="38">
        <v>0.25</v>
      </c>
      <c r="F12" s="136">
        <v>0.4</v>
      </c>
      <c r="G12" s="1">
        <v>0.25</v>
      </c>
      <c r="H12" s="1" t="s">
        <v>332</v>
      </c>
    </row>
    <row r="13" spans="1:14" x14ac:dyDescent="0.45">
      <c r="B13" s="50">
        <f t="shared" si="1"/>
        <v>922.5</v>
      </c>
      <c r="C13" s="50" t="s">
        <v>287</v>
      </c>
      <c r="E13" s="38">
        <v>0.25</v>
      </c>
      <c r="F13" s="136">
        <v>0.25</v>
      </c>
      <c r="G13" s="1">
        <v>0.4</v>
      </c>
      <c r="H13" s="1" t="s">
        <v>333</v>
      </c>
    </row>
    <row r="14" spans="1:14" x14ac:dyDescent="0.45">
      <c r="B14" s="1">
        <f t="shared" si="1"/>
        <v>775</v>
      </c>
      <c r="E14" s="38">
        <v>0.25</v>
      </c>
      <c r="F14" s="136">
        <v>0.15</v>
      </c>
      <c r="G14" s="1">
        <v>0.2</v>
      </c>
      <c r="H14" s="1" t="s">
        <v>334</v>
      </c>
    </row>
    <row r="15" spans="1:14" x14ac:dyDescent="0.45">
      <c r="A15" s="66" t="s">
        <v>336</v>
      </c>
      <c r="F15" s="1" t="s">
        <v>337</v>
      </c>
    </row>
    <row r="16" spans="1:14" x14ac:dyDescent="0.45">
      <c r="B16" s="1">
        <f>$B$3-B3</f>
        <v>0</v>
      </c>
      <c r="C16" s="1">
        <f>$C$4-C3</f>
        <v>300</v>
      </c>
      <c r="D16" s="1">
        <f>$D$5-D3</f>
        <v>830</v>
      </c>
      <c r="E16" s="1">
        <f>$E$6-E3</f>
        <v>1060</v>
      </c>
      <c r="F16" s="66">
        <f>E16</f>
        <v>1060</v>
      </c>
    </row>
    <row r="17" spans="2:7" x14ac:dyDescent="0.45">
      <c r="B17" s="1">
        <f t="shared" ref="B17:B19" si="2">$B$3-B4</f>
        <v>70</v>
      </c>
      <c r="C17" s="1">
        <f t="shared" ref="C17:C19" si="3">$C$4-C4</f>
        <v>0</v>
      </c>
      <c r="D17" s="1">
        <f t="shared" ref="D17:D19" si="4">$D$5-D4</f>
        <v>500</v>
      </c>
      <c r="E17" s="1">
        <f t="shared" ref="E17:E19" si="5">$E$6-E4</f>
        <v>880</v>
      </c>
      <c r="F17" s="66">
        <f>E17</f>
        <v>880</v>
      </c>
    </row>
    <row r="18" spans="2:7" x14ac:dyDescent="0.45">
      <c r="B18" s="1">
        <f t="shared" si="2"/>
        <v>680</v>
      </c>
      <c r="C18" s="1">
        <f t="shared" si="3"/>
        <v>200</v>
      </c>
      <c r="D18" s="1">
        <f t="shared" si="4"/>
        <v>0</v>
      </c>
      <c r="E18" s="1">
        <f t="shared" si="5"/>
        <v>300</v>
      </c>
      <c r="F18" s="4">
        <f>B18</f>
        <v>680</v>
      </c>
      <c r="G18" s="50" t="s">
        <v>287</v>
      </c>
    </row>
    <row r="19" spans="2:7" x14ac:dyDescent="0.45">
      <c r="B19" s="1">
        <f t="shared" si="2"/>
        <v>920</v>
      </c>
      <c r="C19" s="1">
        <f t="shared" si="3"/>
        <v>550</v>
      </c>
      <c r="D19" s="1">
        <f t="shared" si="4"/>
        <v>300</v>
      </c>
      <c r="E19" s="1">
        <f t="shared" si="5"/>
        <v>0</v>
      </c>
      <c r="F19" s="66">
        <f>B19</f>
        <v>920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PB</vt:lpstr>
      <vt:lpstr>RR</vt:lpstr>
      <vt:lpstr>FPoint</vt:lpstr>
      <vt:lpstr>NPV and IRR</vt:lpstr>
      <vt:lpstr>FPAnalysis</vt:lpstr>
      <vt:lpstr>Fig.1</vt:lpstr>
      <vt:lpstr>APPL</vt:lpstr>
      <vt:lpstr>Ex1 NPV Direct</vt:lpstr>
      <vt:lpstr>Ex1 CashFlow</vt:lpstr>
      <vt:lpstr>Ex1 Annual Cost</vt:lpstr>
      <vt:lpstr>Auto or SemiAuto</vt:lpstr>
      <vt:lpstr>One Reinv</vt:lpstr>
      <vt:lpstr>Ex1 NonPositive</vt:lpstr>
      <vt:lpstr>One Reinv (2)</vt:lpstr>
      <vt:lpstr>General</vt:lpstr>
      <vt:lpstr>Reinvest EXERSISE</vt:lpstr>
      <vt:lpstr>Ex FPoint Methode</vt:lpstr>
      <vt:lpstr>Non Unique IRR</vt:lpstr>
      <vt:lpstr>Sheet1</vt:lpstr>
      <vt:lpstr>Taxes,Depreciation Influence</vt:lpstr>
      <vt:lpstr>DATA</vt:lpstr>
      <vt:lpstr>BUY ASSETS</vt:lpstr>
      <vt:lpstr>RENT or OPERATIVE LEASING</vt:lpstr>
      <vt:lpstr>OPTIMAL</vt:lpstr>
      <vt:lpstr>Sheet7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Andrey</cp:lastModifiedBy>
  <cp:lastPrinted>2013-12-18T07:32:59Z</cp:lastPrinted>
  <dcterms:created xsi:type="dcterms:W3CDTF">2013-11-15T05:50:58Z</dcterms:created>
  <dcterms:modified xsi:type="dcterms:W3CDTF">2020-12-18T11:47:56Z</dcterms:modified>
</cp:coreProperties>
</file>